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EF\EGAS 05_2016\BILANCIO\BILANCIO 2023\Esercizio 2023\Documenti per decreto\RIADOZIONE\MODIFICHE CONSOLIDATO DCS\"/>
    </mc:Choice>
  </mc:AlternateContent>
  <bookViews>
    <workbookView xWindow="-120" yWindow="-120" windowWidth="27870" windowHeight="16440" tabRatio="876" activeTab="2"/>
  </bookViews>
  <sheets>
    <sheet name="2. Schema SP" sheetId="23" r:id="rId1"/>
    <sheet name="3. Schema CE" sheetId="1" r:id="rId2"/>
    <sheet name="4. Rendiconto finanziario" sheetId="22" r:id="rId3"/>
    <sheet name="7. SP Attivo Alim" sheetId="20" r:id="rId4"/>
    <sheet name="8. Alimentazione SP P" sheetId="21" r:id="rId5"/>
    <sheet name="9. Alimentazione CE Ricavi" sheetId="2" r:id="rId6"/>
    <sheet name="10. Alimentazione CE Costi" sheetId="3" r:id="rId7"/>
    <sheet name="11. SP Min" sheetId="19" r:id="rId8"/>
    <sheet name="12. CE Min" sheetId="4" r:id="rId9"/>
    <sheet name="Foglio1" sheetId="24" r:id="rId10"/>
    <sheet name="Foglio2" sheetId="25" r:id="rId11"/>
    <sheet name="Foglio3" sheetId="26" r:id="rId12"/>
    <sheet name="CONFRONTO ARCS ASUFC" sheetId="27" r:id="rId13"/>
    <sheet name="ce art. 44" sheetId="17" state="hidden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6" hidden="1">'10. Alimentazione CE Costi'!$A$1:$F$1194</definedName>
    <definedName name="_xlnm._FilterDatabase" localSheetId="7" hidden="1">'11. SP Min'!$A$5:$E$5</definedName>
    <definedName name="_xlnm._FilterDatabase" localSheetId="3" hidden="1">'7. SP Attivo Alim'!$A$1:$H$450</definedName>
    <definedName name="_xlnm._FilterDatabase" localSheetId="4" hidden="1">'8. Alimentazione SP P'!$A$1:$G$315</definedName>
    <definedName name="_xlnm._FilterDatabase" localSheetId="5" hidden="1">'9. Alimentazione CE Ricavi'!$A$1:$F$391</definedName>
    <definedName name="_xlnm.Print_Area" localSheetId="6">'10. Alimentazione CE Costi'!$A:$G</definedName>
    <definedName name="_xlnm.Print_Area" localSheetId="7">'11. SP Min'!$A$3:$H$322</definedName>
    <definedName name="_xlnm.Print_Area" localSheetId="8">'12. CE Min'!$A$2:$H$567</definedName>
    <definedName name="_xlnm.Print_Area" localSheetId="1">'3. Schema CE'!$A$2:$G$120</definedName>
    <definedName name="_xlnm.Print_Area" localSheetId="2">'4. Rendiconto finanziario'!$A$1:$D$115</definedName>
    <definedName name="_xlnm.Print_Area" localSheetId="3">'7. SP Attivo Alim'!$B$185:$G$373</definedName>
    <definedName name="_xlnm.Print_Area" localSheetId="5">'9. Alimentazione CE Ricavi'!$A:$F</definedName>
    <definedName name="_xlnm.Print_Area" localSheetId="13">'ce art. 44'!$A$3:$C$58</definedName>
    <definedName name="_xlnm.Print_Titles" localSheetId="6">'10. Alimentazione CE Costi'!$1:$1</definedName>
    <definedName name="_xlnm.Print_Titles" localSheetId="7">'11. SP Min'!$5:$5</definedName>
    <definedName name="_xlnm.Print_Titles" localSheetId="8">'12. CE Min'!$3:$3</definedName>
    <definedName name="_xlnm.Print_Titles" localSheetId="1">'3. Schema CE'!$4:$5</definedName>
    <definedName name="_xlnm.Print_Titles" localSheetId="3">'7. SP Attivo Alim'!$1:$1</definedName>
    <definedName name="_xlnm.Print_Titles" localSheetId="4">'8. Alimentazione SP P'!$1:$1</definedName>
    <definedName name="_xlnm.Print_Titles" localSheetId="5">'9. Alimentazione CE Ricavi'!$1:$1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7" l="1"/>
  <c r="F181" i="21"/>
  <c r="F91" i="21"/>
  <c r="E1073" i="3"/>
  <c r="E401" i="3"/>
  <c r="C11" i="25" l="1"/>
  <c r="B11" i="25"/>
  <c r="D11" i="25" l="1"/>
  <c r="F266" i="20" l="1"/>
  <c r="F257" i="20"/>
  <c r="E41" i="2" l="1"/>
  <c r="N47" i="2"/>
  <c r="N43" i="2" l="1"/>
  <c r="N48" i="2" s="1"/>
  <c r="E368" i="2" l="1"/>
  <c r="E1173" i="3" l="1"/>
  <c r="E78" i="2"/>
  <c r="D115" i="22" l="1"/>
  <c r="C11" i="22"/>
  <c r="C10" i="22"/>
  <c r="D278" i="19" l="1"/>
  <c r="E388" i="2"/>
  <c r="G309" i="20" l="1"/>
  <c r="F434" i="20" l="1"/>
  <c r="E389" i="2" l="1"/>
  <c r="G613" i="3" l="1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612" i="3"/>
  <c r="G611" i="3"/>
  <c r="G610" i="3"/>
  <c r="G592" i="3"/>
  <c r="G593" i="3"/>
  <c r="G594" i="3"/>
  <c r="G591" i="3"/>
  <c r="G589" i="3"/>
  <c r="G586" i="3"/>
  <c r="G585" i="3"/>
  <c r="G576" i="3"/>
  <c r="G563" i="3"/>
  <c r="G554" i="3"/>
  <c r="G549" i="3"/>
  <c r="G548" i="3"/>
  <c r="G543" i="3"/>
  <c r="G534" i="3"/>
  <c r="G535" i="3"/>
  <c r="G536" i="3"/>
  <c r="G537" i="3"/>
  <c r="G533" i="3"/>
  <c r="G528" i="3"/>
  <c r="G524" i="3"/>
  <c r="G525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11" i="3"/>
  <c r="G508" i="3"/>
  <c r="G506" i="3"/>
  <c r="G503" i="3"/>
  <c r="G501" i="3"/>
  <c r="G496" i="3"/>
  <c r="G497" i="3"/>
  <c r="G492" i="3"/>
  <c r="G489" i="3"/>
  <c r="G487" i="3"/>
  <c r="G485" i="3"/>
  <c r="G483" i="3"/>
  <c r="G477" i="3"/>
  <c r="G475" i="3"/>
  <c r="G472" i="3"/>
  <c r="G470" i="3"/>
  <c r="G458" i="3"/>
  <c r="G442" i="3"/>
  <c r="G439" i="3"/>
  <c r="G432" i="3"/>
  <c r="G433" i="3"/>
  <c r="G434" i="3"/>
  <c r="G435" i="3"/>
  <c r="G436" i="3"/>
  <c r="G437" i="3"/>
  <c r="G438" i="3"/>
  <c r="G431" i="3"/>
  <c r="G413" i="3"/>
  <c r="G406" i="3"/>
  <c r="G401" i="3"/>
  <c r="G400" i="3"/>
  <c r="G397" i="3"/>
  <c r="G396" i="3"/>
  <c r="G395" i="3"/>
  <c r="G381" i="3"/>
  <c r="G368" i="3"/>
  <c r="G367" i="3"/>
  <c r="G199" i="3"/>
  <c r="G170" i="3"/>
  <c r="G51" i="3"/>
  <c r="G48" i="3"/>
  <c r="G45" i="3"/>
  <c r="G42" i="3"/>
  <c r="G39" i="3"/>
  <c r="G37" i="3"/>
  <c r="G36" i="3"/>
  <c r="G34" i="3"/>
  <c r="G33" i="3"/>
  <c r="G31" i="3"/>
  <c r="G30" i="3"/>
  <c r="G11" i="3"/>
  <c r="G10" i="3"/>
  <c r="G8" i="3"/>
  <c r="G7" i="3"/>
  <c r="E1193" i="3" l="1"/>
  <c r="D92" i="19"/>
  <c r="D91" i="19"/>
  <c r="E279" i="19" l="1"/>
  <c r="E278" i="19"/>
  <c r="E277" i="19"/>
  <c r="E92" i="19"/>
  <c r="E91" i="19"/>
  <c r="E51" i="22" l="1"/>
  <c r="C22" i="22"/>
  <c r="C19" i="22"/>
  <c r="C20" i="22" s="1"/>
  <c r="C15" i="22"/>
  <c r="C16" i="22" s="1"/>
  <c r="C13" i="22"/>
  <c r="C14" i="22" s="1"/>
  <c r="C104" i="22"/>
  <c r="C8" i="22"/>
  <c r="C7" i="22"/>
  <c r="C6" i="22"/>
  <c r="E61" i="19"/>
  <c r="D61" i="19"/>
  <c r="I26" i="23" s="1"/>
  <c r="E13" i="19"/>
  <c r="D13" i="19"/>
  <c r="L160" i="23"/>
  <c r="K160" i="23"/>
  <c r="L156" i="23"/>
  <c r="K156" i="23"/>
  <c r="L136" i="23"/>
  <c r="K136" i="23"/>
  <c r="L135" i="23"/>
  <c r="K135" i="23"/>
  <c r="L131" i="23"/>
  <c r="K131" i="23"/>
  <c r="L124" i="23"/>
  <c r="K124" i="23"/>
  <c r="L87" i="23"/>
  <c r="K87" i="23"/>
  <c r="H46" i="23"/>
  <c r="G46" i="23"/>
  <c r="L45" i="23"/>
  <c r="K45" i="23"/>
  <c r="G29" i="23"/>
  <c r="G28" i="23" s="1"/>
  <c r="L27" i="23"/>
  <c r="K27" i="23"/>
  <c r="C93" i="22"/>
  <c r="C90" i="22"/>
  <c r="C87" i="22"/>
  <c r="C79" i="22"/>
  <c r="C70" i="22"/>
  <c r="C64" i="22"/>
  <c r="E55" i="19"/>
  <c r="E56" i="19"/>
  <c r="E57" i="19"/>
  <c r="D57" i="19"/>
  <c r="I24" i="23" s="1"/>
  <c r="D56" i="19"/>
  <c r="D55" i="19"/>
  <c r="E322" i="19"/>
  <c r="E321" i="19"/>
  <c r="E320" i="19"/>
  <c r="E319" i="19"/>
  <c r="E318" i="19"/>
  <c r="E315" i="19"/>
  <c r="E314" i="19"/>
  <c r="E313" i="19"/>
  <c r="E311" i="19"/>
  <c r="E310" i="19"/>
  <c r="E307" i="19"/>
  <c r="E306" i="19"/>
  <c r="E305" i="19"/>
  <c r="E304" i="19"/>
  <c r="E302" i="19"/>
  <c r="E301" i="19"/>
  <c r="E300" i="19"/>
  <c r="E299" i="19"/>
  <c r="E298" i="19"/>
  <c r="E296" i="19"/>
  <c r="E295" i="19"/>
  <c r="E292" i="19"/>
  <c r="E291" i="19"/>
  <c r="E290" i="19"/>
  <c r="E288" i="19"/>
  <c r="E287" i="19"/>
  <c r="E286" i="19"/>
  <c r="E285" i="19"/>
  <c r="E284" i="19"/>
  <c r="E282" i="19"/>
  <c r="E281" i="19"/>
  <c r="E280" i="19"/>
  <c r="J145" i="23"/>
  <c r="E276" i="19"/>
  <c r="E275" i="19"/>
  <c r="E274" i="19"/>
  <c r="E273" i="19"/>
  <c r="E270" i="19"/>
  <c r="E269" i="19"/>
  <c r="E268" i="19"/>
  <c r="E267" i="19"/>
  <c r="E266" i="19"/>
  <c r="E265" i="19"/>
  <c r="E264" i="19"/>
  <c r="E263" i="19"/>
  <c r="E262" i="19"/>
  <c r="E261" i="19"/>
  <c r="E260" i="19"/>
  <c r="E258" i="19"/>
  <c r="E257" i="19"/>
  <c r="E256" i="19"/>
  <c r="E255" i="19"/>
  <c r="E254" i="19"/>
  <c r="E252" i="19"/>
  <c r="E250" i="19"/>
  <c r="E249" i="19"/>
  <c r="E248" i="19"/>
  <c r="E246" i="19"/>
  <c r="E245" i="19"/>
  <c r="E244" i="19"/>
  <c r="E243" i="19"/>
  <c r="E242" i="19"/>
  <c r="E240" i="19"/>
  <c r="E238" i="19"/>
  <c r="E237" i="19"/>
  <c r="E236" i="19"/>
  <c r="E235" i="19"/>
  <c r="E234" i="19"/>
  <c r="E232" i="19"/>
  <c r="E231" i="19"/>
  <c r="E230" i="19"/>
  <c r="E229" i="19"/>
  <c r="E228" i="19"/>
  <c r="E227" i="19"/>
  <c r="E226" i="19"/>
  <c r="E225" i="19"/>
  <c r="E223" i="19"/>
  <c r="E222" i="19"/>
  <c r="E221" i="19"/>
  <c r="E220" i="19"/>
  <c r="E219" i="19"/>
  <c r="E218" i="19"/>
  <c r="E217" i="19"/>
  <c r="E215" i="19"/>
  <c r="E213" i="19"/>
  <c r="E212" i="19"/>
  <c r="E211" i="19"/>
  <c r="E210" i="19"/>
  <c r="E209" i="19"/>
  <c r="E207" i="19"/>
  <c r="E206" i="19"/>
  <c r="E205" i="19"/>
  <c r="E204" i="19"/>
  <c r="E203" i="19"/>
  <c r="E201" i="19"/>
  <c r="E200" i="19"/>
  <c r="E199" i="19"/>
  <c r="E198" i="19"/>
  <c r="E197" i="19"/>
  <c r="E196" i="19"/>
  <c r="E195" i="19"/>
  <c r="E193" i="19"/>
  <c r="E191" i="19"/>
  <c r="E189" i="19"/>
  <c r="E188" i="19"/>
  <c r="E187" i="19"/>
  <c r="E186" i="19"/>
  <c r="E185" i="19"/>
  <c r="E182" i="19"/>
  <c r="E181" i="19"/>
  <c r="E179" i="19"/>
  <c r="E178" i="19"/>
  <c r="E175" i="19"/>
  <c r="E174" i="19"/>
  <c r="E173" i="19"/>
  <c r="E172" i="19"/>
  <c r="E170" i="19"/>
  <c r="E169" i="19"/>
  <c r="E167" i="19"/>
  <c r="E166" i="19"/>
  <c r="E164" i="19"/>
  <c r="E163" i="19"/>
  <c r="E161" i="19"/>
  <c r="E160" i="19"/>
  <c r="E159" i="19"/>
  <c r="E158" i="19"/>
  <c r="E156" i="19"/>
  <c r="E155" i="19"/>
  <c r="E154" i="19"/>
  <c r="E153" i="19"/>
  <c r="E151" i="19"/>
  <c r="E150" i="19"/>
  <c r="E148" i="19"/>
  <c r="E147" i="19"/>
  <c r="E146" i="19"/>
  <c r="E145" i="19"/>
  <c r="E142" i="19"/>
  <c r="E141" i="19"/>
  <c r="E140" i="19"/>
  <c r="E139" i="19"/>
  <c r="E138" i="19"/>
  <c r="E137" i="19"/>
  <c r="E136" i="19"/>
  <c r="E135" i="19"/>
  <c r="E134" i="19"/>
  <c r="E132" i="19"/>
  <c r="E131" i="19"/>
  <c r="E130" i="19"/>
  <c r="E129" i="19"/>
  <c r="E128" i="19"/>
  <c r="E127" i="19"/>
  <c r="E126" i="19"/>
  <c r="E125" i="19"/>
  <c r="E124" i="19"/>
  <c r="E123" i="19"/>
  <c r="E120" i="19"/>
  <c r="E119" i="19"/>
  <c r="E118" i="19"/>
  <c r="E117" i="19"/>
  <c r="E116" i="19"/>
  <c r="E114" i="19"/>
  <c r="E113" i="19"/>
  <c r="E112" i="19"/>
  <c r="E111" i="19"/>
  <c r="E110" i="19"/>
  <c r="E109" i="19"/>
  <c r="E108" i="19"/>
  <c r="E107" i="19"/>
  <c r="E106" i="19"/>
  <c r="E103" i="19"/>
  <c r="E102" i="19"/>
  <c r="E101" i="19"/>
  <c r="E100" i="19"/>
  <c r="E99" i="19"/>
  <c r="E98" i="19"/>
  <c r="E97" i="19"/>
  <c r="E95" i="19"/>
  <c r="E94" i="19"/>
  <c r="E93" i="19"/>
  <c r="E90" i="19"/>
  <c r="E89" i="19"/>
  <c r="E88" i="19"/>
  <c r="E87" i="19"/>
  <c r="E83" i="19"/>
  <c r="E82" i="19"/>
  <c r="E81" i="19"/>
  <c r="E80" i="19"/>
  <c r="E78" i="19"/>
  <c r="E76" i="19"/>
  <c r="E75" i="19"/>
  <c r="E74" i="19"/>
  <c r="E73" i="19"/>
  <c r="E70" i="19"/>
  <c r="E69" i="19"/>
  <c r="E68" i="19"/>
  <c r="E67" i="19"/>
  <c r="E66" i="19"/>
  <c r="E65" i="19"/>
  <c r="E64" i="19"/>
  <c r="E63" i="19"/>
  <c r="E60" i="19"/>
  <c r="E59" i="19"/>
  <c r="E53" i="19"/>
  <c r="E52" i="19"/>
  <c r="E50" i="19"/>
  <c r="E49" i="19"/>
  <c r="E47" i="19"/>
  <c r="E46" i="19"/>
  <c r="E44" i="19"/>
  <c r="E43" i="19"/>
  <c r="E41" i="19"/>
  <c r="E40" i="19"/>
  <c r="E37" i="19"/>
  <c r="E36" i="19"/>
  <c r="E33" i="19"/>
  <c r="E32" i="19"/>
  <c r="E31" i="19"/>
  <c r="E30" i="19"/>
  <c r="E28" i="19"/>
  <c r="E27" i="19"/>
  <c r="E26" i="19"/>
  <c r="E25" i="19"/>
  <c r="E24" i="19"/>
  <c r="E23" i="19"/>
  <c r="E22" i="19"/>
  <c r="E21" i="19"/>
  <c r="E19" i="19"/>
  <c r="E18" i="19"/>
  <c r="E17" i="19"/>
  <c r="E16" i="19"/>
  <c r="E15" i="19"/>
  <c r="E12" i="19"/>
  <c r="E10" i="19"/>
  <c r="E9" i="19"/>
  <c r="D322" i="19"/>
  <c r="D321" i="19"/>
  <c r="D320" i="19"/>
  <c r="I165" i="23" s="1"/>
  <c r="D319" i="19"/>
  <c r="I164" i="23" s="1"/>
  <c r="D318" i="19"/>
  <c r="I163" i="23" s="1"/>
  <c r="D315" i="19"/>
  <c r="D314" i="19"/>
  <c r="D313" i="19"/>
  <c r="D311" i="19"/>
  <c r="D310" i="19"/>
  <c r="D307" i="19"/>
  <c r="D306" i="19"/>
  <c r="D305" i="19"/>
  <c r="D304" i="19"/>
  <c r="I152" i="23" s="1"/>
  <c r="D302" i="19"/>
  <c r="I153" i="23" s="1"/>
  <c r="D301" i="19"/>
  <c r="I151" i="23" s="1"/>
  <c r="D300" i="19"/>
  <c r="I150" i="23" s="1"/>
  <c r="D299" i="19"/>
  <c r="D298" i="19"/>
  <c r="D296" i="19"/>
  <c r="D295" i="19"/>
  <c r="D292" i="19"/>
  <c r="D291" i="19"/>
  <c r="D290" i="19"/>
  <c r="D282" i="19"/>
  <c r="I147" i="23" s="1"/>
  <c r="D270" i="19"/>
  <c r="I140" i="23" s="1"/>
  <c r="D269" i="19"/>
  <c r="D268" i="19"/>
  <c r="D267" i="19"/>
  <c r="D266" i="19"/>
  <c r="D265" i="19"/>
  <c r="D264" i="19"/>
  <c r="D263" i="19"/>
  <c r="D262" i="19"/>
  <c r="D261" i="19"/>
  <c r="D260" i="19"/>
  <c r="D258" i="19"/>
  <c r="D257" i="19"/>
  <c r="D256" i="19"/>
  <c r="D255" i="19"/>
  <c r="D254" i="19"/>
  <c r="D252" i="19"/>
  <c r="I137" i="23" s="1"/>
  <c r="D250" i="19"/>
  <c r="D249" i="19"/>
  <c r="D248" i="19"/>
  <c r="I132" i="23" s="1"/>
  <c r="D246" i="19"/>
  <c r="D245" i="19"/>
  <c r="D244" i="19"/>
  <c r="D243" i="19"/>
  <c r="D242" i="19"/>
  <c r="D240" i="19"/>
  <c r="D238" i="19"/>
  <c r="D237" i="19"/>
  <c r="D236" i="19"/>
  <c r="D235" i="19"/>
  <c r="D234" i="19"/>
  <c r="D232" i="19"/>
  <c r="D231" i="19"/>
  <c r="D230" i="19"/>
  <c r="D229" i="19"/>
  <c r="D228" i="19"/>
  <c r="D227" i="19"/>
  <c r="D226" i="19"/>
  <c r="D225" i="19"/>
  <c r="D223" i="19"/>
  <c r="D222" i="19"/>
  <c r="D221" i="19"/>
  <c r="D220" i="19"/>
  <c r="D219" i="19"/>
  <c r="D218" i="19"/>
  <c r="D217" i="19"/>
  <c r="D215" i="19"/>
  <c r="I125" i="23" s="1"/>
  <c r="D212" i="19"/>
  <c r="I121" i="23" s="1"/>
  <c r="D211" i="19"/>
  <c r="D210" i="19"/>
  <c r="D209" i="19"/>
  <c r="D207" i="19"/>
  <c r="D206" i="19"/>
  <c r="D205" i="19"/>
  <c r="D204" i="19"/>
  <c r="D203" i="19"/>
  <c r="D201" i="19"/>
  <c r="I118" i="23" s="1"/>
  <c r="D200" i="19"/>
  <c r="I117" i="23" s="1"/>
  <c r="D199" i="19"/>
  <c r="I116" i="23" s="1"/>
  <c r="D198" i="19"/>
  <c r="I115" i="23" s="1"/>
  <c r="D197" i="19"/>
  <c r="I114" i="23" s="1"/>
  <c r="D196" i="19"/>
  <c r="I113" i="23" s="1"/>
  <c r="D195" i="19"/>
  <c r="I112" i="23" s="1"/>
  <c r="D193" i="19"/>
  <c r="I110" i="23" s="1"/>
  <c r="D191" i="19"/>
  <c r="I108" i="23" s="1"/>
  <c r="E311" i="21"/>
  <c r="E312" i="21" s="1"/>
  <c r="E313" i="21" s="1"/>
  <c r="E314" i="21" s="1"/>
  <c r="E315" i="21" s="1"/>
  <c r="E309" i="21"/>
  <c r="E307" i="21"/>
  <c r="E305" i="21"/>
  <c r="E303" i="21"/>
  <c r="E299" i="21"/>
  <c r="E297" i="21"/>
  <c r="E295" i="21"/>
  <c r="E292" i="21"/>
  <c r="E290" i="21"/>
  <c r="E283" i="21"/>
  <c r="E284" i="21" s="1"/>
  <c r="E285" i="21" s="1"/>
  <c r="E286" i="21" s="1"/>
  <c r="E278" i="21"/>
  <c r="E279" i="21" s="1"/>
  <c r="E280" i="21" s="1"/>
  <c r="E281" i="21" s="1"/>
  <c r="E272" i="21"/>
  <c r="E273" i="21" s="1"/>
  <c r="E274" i="21" s="1"/>
  <c r="E275" i="21" s="1"/>
  <c r="E276" i="21" s="1"/>
  <c r="E267" i="21"/>
  <c r="E268" i="21" s="1"/>
  <c r="E269" i="21" s="1"/>
  <c r="E270" i="21" s="1"/>
  <c r="E264" i="21"/>
  <c r="E265" i="21" s="1"/>
  <c r="E261" i="21"/>
  <c r="E262" i="21" s="1"/>
  <c r="E259" i="21"/>
  <c r="E248" i="21"/>
  <c r="E249" i="21" s="1"/>
  <c r="E250" i="21" s="1"/>
  <c r="E251" i="21" s="1"/>
  <c r="E252" i="21" s="1"/>
  <c r="E253" i="21" s="1"/>
  <c r="E254" i="21" s="1"/>
  <c r="E255" i="21" s="1"/>
  <c r="E256" i="21" s="1"/>
  <c r="E235" i="21"/>
  <c r="E236" i="21" s="1"/>
  <c r="E237" i="21" s="1"/>
  <c r="E238" i="21" s="1"/>
  <c r="E239" i="21" s="1"/>
  <c r="E240" i="21" s="1"/>
  <c r="E241" i="21" s="1"/>
  <c r="E242" i="21" s="1"/>
  <c r="E243" i="21" s="1"/>
  <c r="E244" i="21" s="1"/>
  <c r="E245" i="21" s="1"/>
  <c r="E246" i="21" s="1"/>
  <c r="E232" i="21"/>
  <c r="E233" i="21" s="1"/>
  <c r="E230" i="21"/>
  <c r="E220" i="21"/>
  <c r="E223" i="21"/>
  <c r="E224" i="21" s="1"/>
  <c r="E225" i="21" s="1"/>
  <c r="E226" i="21" s="1"/>
  <c r="E227" i="21" s="1"/>
  <c r="E228" i="21" s="1"/>
  <c r="E217" i="21"/>
  <c r="E218" i="21" s="1"/>
  <c r="E211" i="21"/>
  <c r="E212" i="21" s="1"/>
  <c r="E213" i="21" s="1"/>
  <c r="E209" i="21"/>
  <c r="E207" i="21"/>
  <c r="E191" i="21"/>
  <c r="E192" i="21" s="1"/>
  <c r="E193" i="21" s="1"/>
  <c r="E162" i="21"/>
  <c r="E163" i="21" s="1"/>
  <c r="E164" i="21" s="1"/>
  <c r="E165" i="21" s="1"/>
  <c r="E156" i="21"/>
  <c r="E157" i="21" s="1"/>
  <c r="E158" i="21" s="1"/>
  <c r="E159" i="21" s="1"/>
  <c r="E160" i="21" s="1"/>
  <c r="E154" i="21"/>
  <c r="E152" i="21"/>
  <c r="E150" i="21"/>
  <c r="E148" i="21"/>
  <c r="E146" i="21"/>
  <c r="E144" i="21"/>
  <c r="E142" i="21"/>
  <c r="E140" i="21"/>
  <c r="E138" i="21"/>
  <c r="E132" i="21"/>
  <c r="E133" i="21" s="1"/>
  <c r="E134" i="21" s="1"/>
  <c r="E135" i="21" s="1"/>
  <c r="E130" i="21"/>
  <c r="E128" i="21"/>
  <c r="E126" i="21"/>
  <c r="E124" i="21"/>
  <c r="E121" i="21"/>
  <c r="E118" i="21"/>
  <c r="E116" i="21"/>
  <c r="E114" i="21"/>
  <c r="E111" i="21"/>
  <c r="E108" i="21"/>
  <c r="E109" i="21" s="1"/>
  <c r="E106" i="21"/>
  <c r="E104" i="21"/>
  <c r="E102" i="21"/>
  <c r="E99" i="21"/>
  <c r="E95" i="21"/>
  <c r="E96" i="21" s="1"/>
  <c r="E93" i="21"/>
  <c r="E91" i="21"/>
  <c r="E89" i="21"/>
  <c r="E87" i="21"/>
  <c r="E84" i="21"/>
  <c r="E82" i="21"/>
  <c r="E80" i="21"/>
  <c r="E78" i="21"/>
  <c r="E76" i="21"/>
  <c r="E74" i="21"/>
  <c r="E72" i="21"/>
  <c r="E70" i="21"/>
  <c r="E65" i="21"/>
  <c r="E66" i="21" s="1"/>
  <c r="E67" i="21" s="1"/>
  <c r="E63" i="21"/>
  <c r="E61" i="21"/>
  <c r="E59" i="21"/>
  <c r="E57" i="21"/>
  <c r="E55" i="21"/>
  <c r="E53" i="21"/>
  <c r="E50" i="21"/>
  <c r="E47" i="21"/>
  <c r="E45" i="21"/>
  <c r="E43" i="21"/>
  <c r="E41" i="21"/>
  <c r="E39" i="21"/>
  <c r="E36" i="21"/>
  <c r="E34" i="21"/>
  <c r="E32" i="21"/>
  <c r="E30" i="21"/>
  <c r="E28" i="21"/>
  <c r="E25" i="21"/>
  <c r="E23" i="21"/>
  <c r="E20" i="21"/>
  <c r="E21" i="21" s="1"/>
  <c r="E17" i="21"/>
  <c r="E18" i="21" s="1"/>
  <c r="E15" i="21"/>
  <c r="E13" i="21"/>
  <c r="E11" i="21"/>
  <c r="E8" i="21"/>
  <c r="E5" i="21"/>
  <c r="D189" i="19"/>
  <c r="D188" i="19"/>
  <c r="D187" i="19"/>
  <c r="I96" i="23" s="1"/>
  <c r="D186" i="19"/>
  <c r="I95" i="23" s="1"/>
  <c r="D185" i="19"/>
  <c r="I94" i="23" s="1"/>
  <c r="D182" i="19"/>
  <c r="D181" i="19"/>
  <c r="D179" i="19"/>
  <c r="D178" i="19"/>
  <c r="D175" i="19"/>
  <c r="I85" i="23" s="1"/>
  <c r="D174" i="19"/>
  <c r="I84" i="23" s="1"/>
  <c r="D173" i="19"/>
  <c r="I83" i="23" s="1"/>
  <c r="D172" i="19"/>
  <c r="I82" i="23" s="1"/>
  <c r="D170" i="19"/>
  <c r="I80" i="23" s="1"/>
  <c r="D169" i="19"/>
  <c r="I79" i="23" s="1"/>
  <c r="D167" i="19"/>
  <c r="D166" i="19"/>
  <c r="D164" i="19"/>
  <c r="D163" i="19"/>
  <c r="D161" i="19"/>
  <c r="D160" i="19"/>
  <c r="D159" i="19"/>
  <c r="D158" i="19"/>
  <c r="D156" i="19"/>
  <c r="I76" i="23" s="1"/>
  <c r="D155" i="19"/>
  <c r="D154" i="19"/>
  <c r="D153" i="19"/>
  <c r="D151" i="19"/>
  <c r="D150" i="19"/>
  <c r="I74" i="23" s="1"/>
  <c r="D148" i="19"/>
  <c r="D147" i="19"/>
  <c r="D146" i="19"/>
  <c r="D145" i="19"/>
  <c r="D142" i="19"/>
  <c r="I71" i="23" s="1"/>
  <c r="D141" i="19"/>
  <c r="D140" i="19"/>
  <c r="D139" i="19"/>
  <c r="I70" i="23" s="1"/>
  <c r="D138" i="19"/>
  <c r="D137" i="19"/>
  <c r="D136" i="19"/>
  <c r="D135" i="19"/>
  <c r="I68" i="23" s="1"/>
  <c r="D134" i="19"/>
  <c r="I67" i="23" s="1"/>
  <c r="D132" i="19"/>
  <c r="D131" i="19"/>
  <c r="I65" i="23" s="1"/>
  <c r="D130" i="19"/>
  <c r="D129" i="19"/>
  <c r="I64" i="23" s="1"/>
  <c r="D128" i="19"/>
  <c r="I63" i="23" s="1"/>
  <c r="D127" i="19"/>
  <c r="I62" i="23" s="1"/>
  <c r="D126" i="19"/>
  <c r="D125" i="19"/>
  <c r="D124" i="19"/>
  <c r="D123" i="19"/>
  <c r="D120" i="19"/>
  <c r="I57" i="23" s="1"/>
  <c r="D119" i="19"/>
  <c r="I56" i="23" s="1"/>
  <c r="D118" i="19"/>
  <c r="I55" i="23" s="1"/>
  <c r="D117" i="19"/>
  <c r="I54" i="23" s="1"/>
  <c r="D116" i="19"/>
  <c r="I53" i="23" s="1"/>
  <c r="D114" i="19"/>
  <c r="I51" i="23" s="1"/>
  <c r="D113" i="19"/>
  <c r="D112" i="19"/>
  <c r="I50" i="23" s="1"/>
  <c r="D111" i="19"/>
  <c r="D110" i="19"/>
  <c r="D109" i="19"/>
  <c r="D108" i="19"/>
  <c r="D107" i="19"/>
  <c r="D106" i="19"/>
  <c r="D103" i="19"/>
  <c r="I44" i="23" s="1"/>
  <c r="D102" i="19"/>
  <c r="D101" i="19"/>
  <c r="D100" i="19"/>
  <c r="D99" i="19"/>
  <c r="D98" i="19"/>
  <c r="D97" i="19"/>
  <c r="D95" i="19"/>
  <c r="I43" i="23" s="1"/>
  <c r="D94" i="19"/>
  <c r="D93" i="19"/>
  <c r="D90" i="19"/>
  <c r="D89" i="19"/>
  <c r="D88" i="19"/>
  <c r="D87" i="19"/>
  <c r="D83" i="19"/>
  <c r="D82" i="19"/>
  <c r="D81" i="19"/>
  <c r="D80" i="19"/>
  <c r="D78" i="19"/>
  <c r="I35" i="23" s="1"/>
  <c r="D76" i="19"/>
  <c r="I33" i="23" s="1"/>
  <c r="D75" i="19"/>
  <c r="I32" i="23" s="1"/>
  <c r="D74" i="19"/>
  <c r="I31" i="23" s="1"/>
  <c r="D73" i="19"/>
  <c r="I30" i="23" s="1"/>
  <c r="D69" i="19"/>
  <c r="D70" i="19"/>
  <c r="D68" i="19"/>
  <c r="D67" i="19"/>
  <c r="D66" i="19"/>
  <c r="D65" i="19"/>
  <c r="D64" i="19"/>
  <c r="D63" i="19"/>
  <c r="D60" i="19"/>
  <c r="D59" i="19"/>
  <c r="D53" i="19"/>
  <c r="D52" i="19"/>
  <c r="D50" i="19"/>
  <c r="D49" i="19"/>
  <c r="D47" i="19"/>
  <c r="D46" i="19"/>
  <c r="D44" i="19"/>
  <c r="D43" i="19"/>
  <c r="D41" i="19"/>
  <c r="D40" i="19"/>
  <c r="D37" i="19"/>
  <c r="I16" i="23" s="1"/>
  <c r="D36" i="19"/>
  <c r="I15" i="23" s="1"/>
  <c r="D33" i="19"/>
  <c r="D32" i="19"/>
  <c r="D31" i="19"/>
  <c r="D30" i="19"/>
  <c r="D28" i="19"/>
  <c r="D27" i="19"/>
  <c r="D26" i="19"/>
  <c r="D25" i="19"/>
  <c r="D24" i="19"/>
  <c r="D23" i="19"/>
  <c r="D22" i="19"/>
  <c r="D21" i="19"/>
  <c r="D19" i="19"/>
  <c r="I11" i="23" s="1"/>
  <c r="D18" i="19"/>
  <c r="D17" i="19"/>
  <c r="D16" i="19"/>
  <c r="D15" i="19"/>
  <c r="D12" i="19"/>
  <c r="D10" i="19"/>
  <c r="D9" i="19"/>
  <c r="E73" i="20"/>
  <c r="E61" i="20"/>
  <c r="E63" i="20"/>
  <c r="H124" i="20"/>
  <c r="E445" i="20"/>
  <c r="E446" i="20" s="1"/>
  <c r="E447" i="20" s="1"/>
  <c r="E448" i="20" s="1"/>
  <c r="E449" i="20" s="1"/>
  <c r="E443" i="20"/>
  <c r="E441" i="20"/>
  <c r="E439" i="20"/>
  <c r="E437" i="20"/>
  <c r="E433" i="20"/>
  <c r="E431" i="20"/>
  <c r="E428" i="20"/>
  <c r="E426" i="20"/>
  <c r="E411" i="20"/>
  <c r="E412" i="20" s="1"/>
  <c r="E413" i="20" s="1"/>
  <c r="E414" i="20" s="1"/>
  <c r="E415" i="20" s="1"/>
  <c r="E416" i="20" s="1"/>
  <c r="E417" i="20" s="1"/>
  <c r="E418" i="20" s="1"/>
  <c r="E419" i="20" s="1"/>
  <c r="E420" i="20" s="1"/>
  <c r="E421" i="20" s="1"/>
  <c r="E422" i="20" s="1"/>
  <c r="E405" i="20"/>
  <c r="E406" i="20" s="1"/>
  <c r="E407" i="20" s="1"/>
  <c r="E408" i="20" s="1"/>
  <c r="E409" i="20" s="1"/>
  <c r="E403" i="20"/>
  <c r="E397" i="20"/>
  <c r="E398" i="20" s="1"/>
  <c r="E399" i="20" s="1"/>
  <c r="E400" i="20" s="1"/>
  <c r="E401" i="20" s="1"/>
  <c r="E391" i="20"/>
  <c r="E392" i="20" s="1"/>
  <c r="E387" i="20"/>
  <c r="E383" i="20"/>
  <c r="E384" i="20" s="1"/>
  <c r="E385" i="20" s="1"/>
  <c r="E380" i="20"/>
  <c r="E378" i="20"/>
  <c r="E375" i="20"/>
  <c r="E366" i="20"/>
  <c r="E367" i="20" s="1"/>
  <c r="E368" i="20" s="1"/>
  <c r="E369" i="20" s="1"/>
  <c r="E370" i="20" s="1"/>
  <c r="E371" i="20" s="1"/>
  <c r="E372" i="20" s="1"/>
  <c r="E373" i="20" s="1"/>
  <c r="E362" i="20"/>
  <c r="E363" i="20" s="1"/>
  <c r="E356" i="20"/>
  <c r="E357" i="20" s="1"/>
  <c r="E358" i="20" s="1"/>
  <c r="E359" i="20" s="1"/>
  <c r="E360" i="20" s="1"/>
  <c r="E353" i="20"/>
  <c r="E354" i="20" s="1"/>
  <c r="E346" i="20"/>
  <c r="E347" i="20" s="1"/>
  <c r="E348" i="20" s="1"/>
  <c r="E349" i="20" s="1"/>
  <c r="E350" i="20" s="1"/>
  <c r="E351" i="20" s="1"/>
  <c r="E336" i="20"/>
  <c r="E337" i="20" s="1"/>
  <c r="E338" i="20" s="1"/>
  <c r="E339" i="20" s="1"/>
  <c r="E340" i="20" s="1"/>
  <c r="E341" i="20" s="1"/>
  <c r="E342" i="20" s="1"/>
  <c r="E343" i="20" s="1"/>
  <c r="E331" i="20"/>
  <c r="E332" i="20" s="1"/>
  <c r="E333" i="20" s="1"/>
  <c r="E334" i="20" s="1"/>
  <c r="E328" i="20"/>
  <c r="E329" i="20" s="1"/>
  <c r="E325" i="20"/>
  <c r="E326" i="20" s="1"/>
  <c r="E322" i="20"/>
  <c r="E317" i="20"/>
  <c r="E318" i="20" s="1"/>
  <c r="E319" i="20" s="1"/>
  <c r="E320" i="20" s="1"/>
  <c r="E313" i="20"/>
  <c r="E303" i="20"/>
  <c r="E309" i="20"/>
  <c r="E310" i="20" s="1"/>
  <c r="E311" i="20" s="1"/>
  <c r="E305" i="20"/>
  <c r="E306" i="20" s="1"/>
  <c r="E307" i="20" s="1"/>
  <c r="E296" i="20"/>
  <c r="E297" i="20" s="1"/>
  <c r="E298" i="20" s="1"/>
  <c r="E299" i="20" s="1"/>
  <c r="E294" i="20"/>
  <c r="E292" i="20"/>
  <c r="E286" i="20"/>
  <c r="E287" i="20" s="1"/>
  <c r="E289" i="20"/>
  <c r="E290" i="20" s="1"/>
  <c r="E284" i="20"/>
  <c r="E281" i="20"/>
  <c r="E282" i="20" s="1"/>
  <c r="E278" i="20"/>
  <c r="E279" i="20" s="1"/>
  <c r="E275" i="20"/>
  <c r="E276" i="20" s="1"/>
  <c r="E271" i="20"/>
  <c r="E272" i="20" s="1"/>
  <c r="E265" i="20"/>
  <c r="E266" i="20" s="1"/>
  <c r="E267" i="20" s="1"/>
  <c r="E268" i="20" s="1"/>
  <c r="E269" i="20" s="1"/>
  <c r="E262" i="20"/>
  <c r="E263" i="20" s="1"/>
  <c r="E257" i="20"/>
  <c r="E258" i="20" s="1"/>
  <c r="E259" i="20" s="1"/>
  <c r="E260" i="20" s="1"/>
  <c r="E254" i="20"/>
  <c r="E255" i="20" s="1"/>
  <c r="E251" i="20"/>
  <c r="E252" i="20" s="1"/>
  <c r="E248" i="20"/>
  <c r="E249" i="20" s="1"/>
  <c r="E245" i="20"/>
  <c r="E246" i="20" s="1"/>
  <c r="E242" i="20"/>
  <c r="E243" i="20" s="1"/>
  <c r="E239" i="20"/>
  <c r="E240" i="20" s="1"/>
  <c r="E232" i="20"/>
  <c r="E233" i="20" s="1"/>
  <c r="E234" i="20" s="1"/>
  <c r="E235" i="20" s="1"/>
  <c r="E229" i="20"/>
  <c r="E230" i="20" s="1"/>
  <c r="E224" i="20"/>
  <c r="E225" i="20" s="1"/>
  <c r="E226" i="20" s="1"/>
  <c r="E227" i="20" s="1"/>
  <c r="E221" i="20"/>
  <c r="E222" i="20" s="1"/>
  <c r="E218" i="20"/>
  <c r="E219" i="20" s="1"/>
  <c r="E214" i="20"/>
  <c r="E215" i="20" s="1"/>
  <c r="E211" i="20"/>
  <c r="E212" i="20" s="1"/>
  <c r="E206" i="20"/>
  <c r="E207" i="20" s="1"/>
  <c r="E208" i="20" s="1"/>
  <c r="E209" i="20" s="1"/>
  <c r="E203" i="20"/>
  <c r="E204" i="20" s="1"/>
  <c r="E200" i="20"/>
  <c r="E201" i="20" s="1"/>
  <c r="E197" i="20"/>
  <c r="E198" i="20" s="1"/>
  <c r="E194" i="20"/>
  <c r="E195" i="20" s="1"/>
  <c r="E191" i="20"/>
  <c r="E192" i="20" s="1"/>
  <c r="E188" i="20"/>
  <c r="E189" i="20" s="1"/>
  <c r="E184" i="20"/>
  <c r="E182" i="20"/>
  <c r="E180" i="20"/>
  <c r="E178" i="20"/>
  <c r="E176" i="20"/>
  <c r="E174" i="20"/>
  <c r="E172" i="20"/>
  <c r="E169" i="20"/>
  <c r="E167" i="20"/>
  <c r="E165" i="20"/>
  <c r="E163" i="20"/>
  <c r="E161" i="20"/>
  <c r="E159" i="20"/>
  <c r="E153" i="20"/>
  <c r="E155" i="20"/>
  <c r="E156" i="20" s="1"/>
  <c r="E157" i="20" s="1"/>
  <c r="E149" i="20"/>
  <c r="E150" i="20" s="1"/>
  <c r="E151" i="20" s="1"/>
  <c r="E144" i="20"/>
  <c r="E142" i="20"/>
  <c r="E140" i="20"/>
  <c r="E138" i="20"/>
  <c r="E135" i="20"/>
  <c r="E129" i="20"/>
  <c r="E130" i="20" s="1"/>
  <c r="E131" i="20" s="1"/>
  <c r="E132" i="20" s="1"/>
  <c r="E126" i="20"/>
  <c r="E127" i="20" s="1"/>
  <c r="E123" i="20"/>
  <c r="E124" i="20" s="1"/>
  <c r="E120" i="20"/>
  <c r="E121" i="20" s="1"/>
  <c r="E116" i="20"/>
  <c r="E114" i="20"/>
  <c r="E112" i="20"/>
  <c r="E110" i="20"/>
  <c r="E108" i="20"/>
  <c r="E106" i="20"/>
  <c r="E103" i="20"/>
  <c r="E104" i="20" s="1"/>
  <c r="E100" i="20"/>
  <c r="E101" i="20" s="1"/>
  <c r="E97" i="20"/>
  <c r="E95" i="20"/>
  <c r="E93" i="20"/>
  <c r="E90" i="20"/>
  <c r="E88" i="20"/>
  <c r="E86" i="20"/>
  <c r="E83" i="20"/>
  <c r="E81" i="20"/>
  <c r="E78" i="20"/>
  <c r="J143" i="23" l="1"/>
  <c r="L143" i="23" s="1"/>
  <c r="C95" i="22"/>
  <c r="I166" i="23"/>
  <c r="I167" i="23" s="1"/>
  <c r="J33" i="23"/>
  <c r="K33" i="23" s="1"/>
  <c r="L33" i="23" s="1"/>
  <c r="J71" i="23"/>
  <c r="K71" i="23" s="1"/>
  <c r="J116" i="23"/>
  <c r="K116" i="23" s="1"/>
  <c r="L116" i="23" s="1"/>
  <c r="J26" i="23"/>
  <c r="K26" i="23" s="1"/>
  <c r="L26" i="23" s="1"/>
  <c r="J30" i="23"/>
  <c r="K30" i="23" s="1"/>
  <c r="L30" i="23" s="1"/>
  <c r="J35" i="23"/>
  <c r="K35" i="23" s="1"/>
  <c r="L35" i="23" s="1"/>
  <c r="J57" i="23"/>
  <c r="K57" i="23" s="1"/>
  <c r="L57" i="23" s="1"/>
  <c r="J68" i="23"/>
  <c r="K68" i="23" s="1"/>
  <c r="J70" i="23"/>
  <c r="K70" i="23" s="1"/>
  <c r="J74" i="23"/>
  <c r="K74" i="23" s="1"/>
  <c r="L74" i="23" s="1"/>
  <c r="J82" i="23"/>
  <c r="K82" i="23" s="1"/>
  <c r="L82" i="23" s="1"/>
  <c r="J94" i="23"/>
  <c r="K94" i="23" s="1"/>
  <c r="L94" i="23" s="1"/>
  <c r="J113" i="23"/>
  <c r="K113" i="23" s="1"/>
  <c r="L113" i="23" s="1"/>
  <c r="J117" i="23"/>
  <c r="K117" i="23" s="1"/>
  <c r="L117" i="23" s="1"/>
  <c r="J125" i="23"/>
  <c r="K125" i="23" s="1"/>
  <c r="L125" i="23" s="1"/>
  <c r="J151" i="23"/>
  <c r="K151" i="23" s="1"/>
  <c r="J164" i="23"/>
  <c r="K164" i="23" s="1"/>
  <c r="L164" i="23" s="1"/>
  <c r="J51" i="23"/>
  <c r="K51" i="23" s="1"/>
  <c r="J64" i="23"/>
  <c r="K64" i="23" s="1"/>
  <c r="L64" i="23" s="1"/>
  <c r="J67" i="23"/>
  <c r="K67" i="23" s="1"/>
  <c r="J80" i="23"/>
  <c r="K80" i="23" s="1"/>
  <c r="L80" i="23" s="1"/>
  <c r="J142" i="23"/>
  <c r="L142" i="23" s="1"/>
  <c r="E283" i="19"/>
  <c r="J150" i="23"/>
  <c r="K150" i="23" s="1"/>
  <c r="J11" i="23"/>
  <c r="K11" i="23" s="1"/>
  <c r="L11" i="23" s="1"/>
  <c r="J31" i="23"/>
  <c r="J50" i="23"/>
  <c r="K50" i="23" s="1"/>
  <c r="L50" i="23" s="1"/>
  <c r="J54" i="23"/>
  <c r="K54" i="23" s="1"/>
  <c r="L54" i="23" s="1"/>
  <c r="J62" i="23"/>
  <c r="K62" i="23" s="1"/>
  <c r="L62" i="23" s="1"/>
  <c r="J65" i="23"/>
  <c r="K65" i="23" s="1"/>
  <c r="L65" i="23" s="1"/>
  <c r="J76" i="23"/>
  <c r="K76" i="23" s="1"/>
  <c r="J83" i="23"/>
  <c r="K83" i="23" s="1"/>
  <c r="L83" i="23" s="1"/>
  <c r="J95" i="23"/>
  <c r="K95" i="23" s="1"/>
  <c r="L95" i="23" s="1"/>
  <c r="J108" i="23"/>
  <c r="K108" i="23" s="1"/>
  <c r="L108" i="23" s="1"/>
  <c r="J114" i="23"/>
  <c r="K114" i="23" s="1"/>
  <c r="L114" i="23" s="1"/>
  <c r="J118" i="23"/>
  <c r="K118" i="23" s="1"/>
  <c r="L118" i="23" s="1"/>
  <c r="J144" i="23"/>
  <c r="L144" i="23" s="1"/>
  <c r="J153" i="23"/>
  <c r="K153" i="23" s="1"/>
  <c r="J165" i="23"/>
  <c r="K165" i="23" s="1"/>
  <c r="L165" i="23" s="1"/>
  <c r="J16" i="23"/>
  <c r="K16" i="23" s="1"/>
  <c r="L16" i="23" s="1"/>
  <c r="J43" i="23"/>
  <c r="K43" i="23" s="1"/>
  <c r="J56" i="23"/>
  <c r="K56" i="23" s="1"/>
  <c r="L56" i="23" s="1"/>
  <c r="J85" i="23"/>
  <c r="K85" i="23" s="1"/>
  <c r="L85" i="23" s="1"/>
  <c r="J122" i="23"/>
  <c r="J163" i="23"/>
  <c r="K163" i="23" s="1"/>
  <c r="L163" i="23" s="1"/>
  <c r="J24" i="23"/>
  <c r="J15" i="23"/>
  <c r="K15" i="23" s="1"/>
  <c r="J32" i="23"/>
  <c r="K32" i="23" s="1"/>
  <c r="L32" i="23" s="1"/>
  <c r="J44" i="23"/>
  <c r="K44" i="23" s="1"/>
  <c r="L44" i="23" s="1"/>
  <c r="J55" i="23"/>
  <c r="K55" i="23" s="1"/>
  <c r="L55" i="23" s="1"/>
  <c r="J63" i="23"/>
  <c r="K63" i="23" s="1"/>
  <c r="L63" i="23" s="1"/>
  <c r="J79" i="23"/>
  <c r="J84" i="23"/>
  <c r="K84" i="23" s="1"/>
  <c r="L84" i="23" s="1"/>
  <c r="J110" i="23"/>
  <c r="K110" i="23" s="1"/>
  <c r="L110" i="23" s="1"/>
  <c r="J115" i="23"/>
  <c r="K115" i="23" s="1"/>
  <c r="L115" i="23" s="1"/>
  <c r="J121" i="23"/>
  <c r="K121" i="23" s="1"/>
  <c r="L121" i="23" s="1"/>
  <c r="J137" i="23"/>
  <c r="K137" i="23" s="1"/>
  <c r="J140" i="23"/>
  <c r="K140" i="23" s="1"/>
  <c r="J147" i="23"/>
  <c r="K147" i="23" s="1"/>
  <c r="L147" i="23" s="1"/>
  <c r="E272" i="19"/>
  <c r="E312" i="19"/>
  <c r="E297" i="19"/>
  <c r="C21" i="22"/>
  <c r="J69" i="23"/>
  <c r="I69" i="23"/>
  <c r="C17" i="22"/>
  <c r="C12" i="22"/>
  <c r="C9" i="22"/>
  <c r="I133" i="23"/>
  <c r="I134" i="23" s="1"/>
  <c r="I154" i="23"/>
  <c r="E259" i="19"/>
  <c r="E208" i="19"/>
  <c r="J133" i="23"/>
  <c r="E309" i="19"/>
  <c r="J166" i="23"/>
  <c r="J154" i="23"/>
  <c r="E202" i="19"/>
  <c r="J119" i="23" s="1"/>
  <c r="E241" i="19"/>
  <c r="E194" i="19"/>
  <c r="E289" i="19"/>
  <c r="E294" i="19"/>
  <c r="E317" i="19"/>
  <c r="E253" i="19"/>
  <c r="E233" i="19"/>
  <c r="E224" i="19"/>
  <c r="E216" i="19"/>
  <c r="E247" i="19"/>
  <c r="E303" i="19"/>
  <c r="J112" i="23"/>
  <c r="J132" i="23"/>
  <c r="K132" i="23" s="1"/>
  <c r="J152" i="23"/>
  <c r="K152" i="23" s="1"/>
  <c r="E177" i="19"/>
  <c r="I97" i="23"/>
  <c r="I98" i="23" s="1"/>
  <c r="E39" i="19"/>
  <c r="E35" i="19"/>
  <c r="E152" i="19"/>
  <c r="E168" i="19"/>
  <c r="I61" i="23"/>
  <c r="E51" i="19"/>
  <c r="E11" i="19"/>
  <c r="E42" i="19"/>
  <c r="E58" i="19"/>
  <c r="E180" i="19"/>
  <c r="E54" i="19"/>
  <c r="I49" i="23"/>
  <c r="I48" i="23" s="1"/>
  <c r="J61" i="23"/>
  <c r="E171" i="19"/>
  <c r="E45" i="19"/>
  <c r="I78" i="23"/>
  <c r="E115" i="19"/>
  <c r="J97" i="23"/>
  <c r="H29" i="23"/>
  <c r="H28" i="23" s="1"/>
  <c r="I81" i="23"/>
  <c r="B5" i="25" s="1"/>
  <c r="I14" i="23"/>
  <c r="E144" i="19"/>
  <c r="E184" i="19"/>
  <c r="E8" i="19"/>
  <c r="E79" i="19"/>
  <c r="E133" i="19"/>
  <c r="E20" i="19"/>
  <c r="E48" i="19"/>
  <c r="E62" i="19"/>
  <c r="E72" i="19"/>
  <c r="E122" i="19"/>
  <c r="J53" i="23"/>
  <c r="E29" i="19"/>
  <c r="E86" i="19"/>
  <c r="E96" i="19"/>
  <c r="E162" i="19"/>
  <c r="J49" i="23"/>
  <c r="E14" i="19"/>
  <c r="E165" i="19"/>
  <c r="J96" i="23"/>
  <c r="I52" i="23"/>
  <c r="I111" i="23"/>
  <c r="I109" i="23" s="1"/>
  <c r="I29" i="23"/>
  <c r="E395" i="20"/>
  <c r="E394" i="20"/>
  <c r="E76" i="20"/>
  <c r="E71" i="20"/>
  <c r="E68" i="20"/>
  <c r="E66" i="20"/>
  <c r="E57" i="20"/>
  <c r="E55" i="20"/>
  <c r="E51" i="20"/>
  <c r="E49" i="20"/>
  <c r="E47" i="20"/>
  <c r="E45" i="20"/>
  <c r="E42" i="20"/>
  <c r="E40" i="20"/>
  <c r="E38" i="20"/>
  <c r="E36" i="20"/>
  <c r="E34" i="20"/>
  <c r="E32" i="20"/>
  <c r="E30" i="20"/>
  <c r="E28" i="20"/>
  <c r="E25" i="20"/>
  <c r="E23" i="20"/>
  <c r="E21" i="20"/>
  <c r="E19" i="20"/>
  <c r="E17" i="20"/>
  <c r="E14" i="20"/>
  <c r="E12" i="20"/>
  <c r="E9" i="20"/>
  <c r="E7" i="20"/>
  <c r="D317" i="19"/>
  <c r="D312" i="19"/>
  <c r="I158" i="23" s="1"/>
  <c r="D309" i="19"/>
  <c r="I157" i="23" s="1"/>
  <c r="D303" i="19"/>
  <c r="D297" i="19"/>
  <c r="D294" i="19"/>
  <c r="D289" i="19"/>
  <c r="I148" i="23" s="1"/>
  <c r="D288" i="19"/>
  <c r="D287" i="19"/>
  <c r="D286" i="19"/>
  <c r="D285" i="19"/>
  <c r="D284" i="19"/>
  <c r="D281" i="19"/>
  <c r="D280" i="19"/>
  <c r="D279" i="19"/>
  <c r="I145" i="23" s="1"/>
  <c r="K145" i="23" s="1"/>
  <c r="L145" i="23" s="1"/>
  <c r="D277" i="19"/>
  <c r="D276" i="19"/>
  <c r="D275" i="19"/>
  <c r="I144" i="23" s="1"/>
  <c r="D274" i="19"/>
  <c r="I143" i="23" s="1"/>
  <c r="K143" i="23" s="1"/>
  <c r="D273" i="19"/>
  <c r="D259" i="19"/>
  <c r="I139" i="23" s="1"/>
  <c r="D253" i="19"/>
  <c r="I138" i="23" s="1"/>
  <c r="D247" i="19"/>
  <c r="D241" i="19"/>
  <c r="D239" i="19" s="1"/>
  <c r="I129" i="23" s="1"/>
  <c r="D233" i="19"/>
  <c r="I128" i="23" s="1"/>
  <c r="D224" i="19"/>
  <c r="I127" i="23" s="1"/>
  <c r="D216" i="19"/>
  <c r="I126" i="23" s="1"/>
  <c r="D208" i="19"/>
  <c r="I120" i="23" s="1"/>
  <c r="D202" i="19"/>
  <c r="I119" i="23" s="1"/>
  <c r="D194" i="19"/>
  <c r="D192" i="19" s="1"/>
  <c r="G300" i="21"/>
  <c r="G434" i="20"/>
  <c r="E305" i="4"/>
  <c r="D305" i="4"/>
  <c r="E248" i="4"/>
  <c r="D248" i="4"/>
  <c r="F37" i="1"/>
  <c r="G37" i="1" s="1"/>
  <c r="G450" i="20" l="1"/>
  <c r="J14" i="23"/>
  <c r="J167" i="23"/>
  <c r="K167" i="23" s="1"/>
  <c r="L167" i="23" s="1"/>
  <c r="K144" i="23"/>
  <c r="J78" i="23"/>
  <c r="K78" i="23" s="1"/>
  <c r="L78" i="23" s="1"/>
  <c r="J48" i="23"/>
  <c r="J111" i="23"/>
  <c r="K111" i="23" s="1"/>
  <c r="L111" i="23" s="1"/>
  <c r="J29" i="23"/>
  <c r="K29" i="23" s="1"/>
  <c r="L29" i="23" s="1"/>
  <c r="J81" i="23"/>
  <c r="J8" i="23"/>
  <c r="J23" i="23"/>
  <c r="J148" i="23"/>
  <c r="K148" i="23" s="1"/>
  <c r="J139" i="23"/>
  <c r="K139" i="23" s="1"/>
  <c r="J158" i="23"/>
  <c r="K158" i="23" s="1"/>
  <c r="L158" i="23" s="1"/>
  <c r="J157" i="23"/>
  <c r="K157" i="23" s="1"/>
  <c r="K79" i="23"/>
  <c r="L79" i="23" s="1"/>
  <c r="J52" i="23"/>
  <c r="E105" i="19"/>
  <c r="J20" i="23"/>
  <c r="J22" i="23"/>
  <c r="J18" i="23"/>
  <c r="K31" i="23"/>
  <c r="L31" i="23" s="1"/>
  <c r="J126" i="23"/>
  <c r="K126" i="23" s="1"/>
  <c r="L126" i="23" s="1"/>
  <c r="J128" i="23"/>
  <c r="K128" i="23" s="1"/>
  <c r="L128" i="23" s="1"/>
  <c r="J10" i="23"/>
  <c r="J12" i="23"/>
  <c r="J19" i="23"/>
  <c r="J75" i="23"/>
  <c r="J127" i="23"/>
  <c r="K127" i="23" s="1"/>
  <c r="L127" i="23" s="1"/>
  <c r="K119" i="23"/>
  <c r="L119" i="23" s="1"/>
  <c r="J9" i="23"/>
  <c r="E192" i="19"/>
  <c r="J42" i="23"/>
  <c r="J21" i="23"/>
  <c r="J25" i="23"/>
  <c r="E271" i="19"/>
  <c r="J138" i="23"/>
  <c r="K138" i="23" s="1"/>
  <c r="E239" i="19"/>
  <c r="E214" i="19" s="1"/>
  <c r="J120" i="23"/>
  <c r="K120" i="23" s="1"/>
  <c r="L120" i="23" s="1"/>
  <c r="J66" i="23"/>
  <c r="J146" i="23"/>
  <c r="J88" i="23"/>
  <c r="J89" i="23"/>
  <c r="K154" i="23"/>
  <c r="L154" i="23" s="1"/>
  <c r="E293" i="19"/>
  <c r="D272" i="19"/>
  <c r="I142" i="23"/>
  <c r="D283" i="19"/>
  <c r="I146" i="23" s="1"/>
  <c r="L150" i="23"/>
  <c r="C107" i="22"/>
  <c r="L153" i="23"/>
  <c r="C33" i="22"/>
  <c r="L137" i="23"/>
  <c r="C109" i="22"/>
  <c r="L140" i="23"/>
  <c r="C28" i="22"/>
  <c r="L151" i="23"/>
  <c r="C32" i="22"/>
  <c r="L51" i="23"/>
  <c r="C98" i="22"/>
  <c r="L68" i="23"/>
  <c r="C100" i="22"/>
  <c r="L76" i="23"/>
  <c r="C49" i="22"/>
  <c r="L43" i="23"/>
  <c r="C53" i="22"/>
  <c r="L67" i="23"/>
  <c r="C99" i="22"/>
  <c r="L70" i="23"/>
  <c r="C102" i="22"/>
  <c r="L71" i="23"/>
  <c r="C46" i="22"/>
  <c r="E38" i="19"/>
  <c r="J134" i="23"/>
  <c r="K134" i="23" s="1"/>
  <c r="L134" i="23" s="1"/>
  <c r="K133" i="23"/>
  <c r="L133" i="23" s="1"/>
  <c r="E308" i="19"/>
  <c r="I159" i="23"/>
  <c r="L152" i="23"/>
  <c r="K166" i="23"/>
  <c r="L166" i="23" s="1"/>
  <c r="K112" i="23"/>
  <c r="L112" i="23" s="1"/>
  <c r="L132" i="23"/>
  <c r="I130" i="23"/>
  <c r="B9" i="25" s="1"/>
  <c r="K97" i="23"/>
  <c r="L97" i="23" s="1"/>
  <c r="K69" i="23"/>
  <c r="I47" i="23"/>
  <c r="K48" i="23"/>
  <c r="L48" i="23" s="1"/>
  <c r="E157" i="19"/>
  <c r="K24" i="23"/>
  <c r="L24" i="23" s="1"/>
  <c r="K61" i="23"/>
  <c r="L61" i="23" s="1"/>
  <c r="K49" i="23"/>
  <c r="L49" i="23" s="1"/>
  <c r="J60" i="23"/>
  <c r="I60" i="23"/>
  <c r="E176" i="19"/>
  <c r="E121" i="19"/>
  <c r="K53" i="23"/>
  <c r="L53" i="23" s="1"/>
  <c r="I66" i="23"/>
  <c r="J98" i="23"/>
  <c r="E85" i="19"/>
  <c r="J41" i="23"/>
  <c r="E143" i="19"/>
  <c r="J73" i="23"/>
  <c r="K96" i="23"/>
  <c r="L96" i="23" s="1"/>
  <c r="E7" i="19"/>
  <c r="L15" i="23"/>
  <c r="E77" i="19"/>
  <c r="J36" i="23"/>
  <c r="D54" i="19"/>
  <c r="D214" i="19"/>
  <c r="D293" i="19"/>
  <c r="I149" i="23" s="1"/>
  <c r="D308" i="19"/>
  <c r="J47" i="23" l="1"/>
  <c r="C113" i="22"/>
  <c r="C5" i="25"/>
  <c r="D5" i="25" s="1"/>
  <c r="E5" i="25" s="1"/>
  <c r="J109" i="23"/>
  <c r="J123" i="23" s="1"/>
  <c r="C8" i="25" s="1"/>
  <c r="D271" i="19"/>
  <c r="D251" i="19" s="1"/>
  <c r="E190" i="19"/>
  <c r="K52" i="23"/>
  <c r="C38" i="22" s="1"/>
  <c r="K81" i="23"/>
  <c r="L81" i="23" s="1"/>
  <c r="J17" i="23"/>
  <c r="J13" i="23" s="1"/>
  <c r="J159" i="23"/>
  <c r="E251" i="19"/>
  <c r="L148" i="23"/>
  <c r="C34" i="22"/>
  <c r="K66" i="23"/>
  <c r="L66" i="23" s="1"/>
  <c r="J7" i="23"/>
  <c r="J90" i="23"/>
  <c r="C6" i="25" s="1"/>
  <c r="L146" i="23"/>
  <c r="J141" i="23"/>
  <c r="E71" i="19"/>
  <c r="E34" i="19"/>
  <c r="L138" i="23"/>
  <c r="J149" i="23"/>
  <c r="K149" i="23" s="1"/>
  <c r="L149" i="23" s="1"/>
  <c r="J129" i="23"/>
  <c r="J77" i="23"/>
  <c r="K146" i="23"/>
  <c r="K142" i="23"/>
  <c r="I141" i="23"/>
  <c r="L139" i="23"/>
  <c r="C27" i="22"/>
  <c r="L157" i="23"/>
  <c r="C36" i="22"/>
  <c r="K47" i="23"/>
  <c r="L47" i="23" s="1"/>
  <c r="L52" i="23"/>
  <c r="I23" i="23"/>
  <c r="K23" i="23" s="1"/>
  <c r="L23" i="23" s="1"/>
  <c r="L69" i="23"/>
  <c r="C101" i="22"/>
  <c r="K109" i="23"/>
  <c r="L109" i="23" s="1"/>
  <c r="J59" i="23"/>
  <c r="K98" i="23"/>
  <c r="L98" i="23" s="1"/>
  <c r="I59" i="23"/>
  <c r="K60" i="23"/>
  <c r="L60" i="23" s="1"/>
  <c r="E104" i="19"/>
  <c r="J40" i="23"/>
  <c r="C3" i="25" s="1"/>
  <c r="J34" i="23"/>
  <c r="K14" i="23"/>
  <c r="L14" i="23" s="1"/>
  <c r="J72" i="23"/>
  <c r="D180" i="19"/>
  <c r="I89" i="23" s="1"/>
  <c r="D168" i="19"/>
  <c r="D184" i="19"/>
  <c r="D48" i="19"/>
  <c r="D152" i="19"/>
  <c r="I75" i="23" s="1"/>
  <c r="K75" i="23" s="1"/>
  <c r="L75" i="23" s="1"/>
  <c r="D162" i="19"/>
  <c r="D165" i="19"/>
  <c r="D35" i="19"/>
  <c r="D42" i="19"/>
  <c r="I19" i="23" s="1"/>
  <c r="D177" i="19"/>
  <c r="I88" i="23" s="1"/>
  <c r="K88" i="23" s="1"/>
  <c r="D11" i="19"/>
  <c r="I9" i="23" s="1"/>
  <c r="K9" i="23" s="1"/>
  <c r="L9" i="23" s="1"/>
  <c r="D171" i="19"/>
  <c r="D122" i="19"/>
  <c r="D39" i="19"/>
  <c r="D58" i="19"/>
  <c r="D45" i="19"/>
  <c r="D20" i="19"/>
  <c r="I12" i="23" s="1"/>
  <c r="K12" i="23" s="1"/>
  <c r="L12" i="23" s="1"/>
  <c r="D51" i="19"/>
  <c r="D133" i="19"/>
  <c r="D29" i="19"/>
  <c r="D62" i="19"/>
  <c r="D79" i="19"/>
  <c r="D8" i="19"/>
  <c r="I8" i="23" s="1"/>
  <c r="D72" i="19"/>
  <c r="D144" i="19"/>
  <c r="D86" i="19"/>
  <c r="I41" i="23" s="1"/>
  <c r="D115" i="19"/>
  <c r="D105" i="19" s="1"/>
  <c r="D96" i="19"/>
  <c r="I42" i="23" s="1"/>
  <c r="K42" i="23" s="1"/>
  <c r="L42" i="23" s="1"/>
  <c r="D14" i="19"/>
  <c r="I10" i="23" s="1"/>
  <c r="K10" i="23" s="1"/>
  <c r="L10" i="23" s="1"/>
  <c r="E316" i="19" l="1"/>
  <c r="K141" i="23"/>
  <c r="L141" i="23" s="1"/>
  <c r="K159" i="23"/>
  <c r="L159" i="23" s="1"/>
  <c r="C31" i="22"/>
  <c r="J155" i="23"/>
  <c r="C10" i="25" s="1"/>
  <c r="I155" i="23"/>
  <c r="B10" i="25" s="1"/>
  <c r="E84" i="19"/>
  <c r="E6" i="19"/>
  <c r="J130" i="23"/>
  <c r="C9" i="25" s="1"/>
  <c r="D9" i="25" s="1"/>
  <c r="E9" i="25" s="1"/>
  <c r="K129" i="23"/>
  <c r="L129" i="23" s="1"/>
  <c r="C29" i="22"/>
  <c r="I21" i="23"/>
  <c r="K21" i="23" s="1"/>
  <c r="L21" i="23" s="1"/>
  <c r="I18" i="23"/>
  <c r="K18" i="23" s="1"/>
  <c r="L18" i="23" s="1"/>
  <c r="L88" i="23"/>
  <c r="I20" i="23"/>
  <c r="K20" i="23" s="1"/>
  <c r="L20" i="23" s="1"/>
  <c r="I22" i="23"/>
  <c r="K22" i="23" s="1"/>
  <c r="L22" i="23" s="1"/>
  <c r="I25" i="23"/>
  <c r="K25" i="23" s="1"/>
  <c r="L25" i="23" s="1"/>
  <c r="J58" i="23"/>
  <c r="J46" i="23" s="1"/>
  <c r="C4" i="25" s="1"/>
  <c r="I58" i="23"/>
  <c r="K59" i="23"/>
  <c r="D77" i="19"/>
  <c r="D71" i="19" s="1"/>
  <c r="I36" i="23"/>
  <c r="J28" i="23"/>
  <c r="I40" i="23"/>
  <c r="B3" i="25" s="1"/>
  <c r="D3" i="25" s="1"/>
  <c r="E3" i="25" s="1"/>
  <c r="K41" i="23"/>
  <c r="K19" i="23"/>
  <c r="L19" i="23" s="1"/>
  <c r="D143" i="19"/>
  <c r="I73" i="23"/>
  <c r="I90" i="23"/>
  <c r="B6" i="25" s="1"/>
  <c r="D6" i="25" s="1"/>
  <c r="E6" i="25" s="1"/>
  <c r="K89" i="23"/>
  <c r="L89" i="23" s="1"/>
  <c r="I7" i="23"/>
  <c r="K7" i="23" s="1"/>
  <c r="L7" i="23" s="1"/>
  <c r="K8" i="23"/>
  <c r="L8" i="23" s="1"/>
  <c r="D176" i="19"/>
  <c r="D85" i="19"/>
  <c r="D157" i="19"/>
  <c r="I77" i="23" s="1"/>
  <c r="K77" i="23" s="1"/>
  <c r="D38" i="19"/>
  <c r="D34" i="19" s="1"/>
  <c r="D7" i="19"/>
  <c r="D121" i="19"/>
  <c r="D10" i="25" l="1"/>
  <c r="E10" i="25" s="1"/>
  <c r="C12" i="25"/>
  <c r="C35" i="22"/>
  <c r="K155" i="23"/>
  <c r="L155" i="23" s="1"/>
  <c r="K90" i="23"/>
  <c r="L90" i="23" s="1"/>
  <c r="E183" i="19"/>
  <c r="K130" i="23"/>
  <c r="C23" i="22" s="1"/>
  <c r="C24" i="22" s="1"/>
  <c r="J161" i="23"/>
  <c r="I17" i="23"/>
  <c r="K17" i="23" s="1"/>
  <c r="L17" i="23" s="1"/>
  <c r="C55" i="22"/>
  <c r="L77" i="23"/>
  <c r="C50" i="22"/>
  <c r="L59" i="23"/>
  <c r="C45" i="22"/>
  <c r="L41" i="23"/>
  <c r="C52" i="22"/>
  <c r="C54" i="22" s="1"/>
  <c r="K58" i="23"/>
  <c r="L58" i="23" s="1"/>
  <c r="K40" i="23"/>
  <c r="L40" i="23" s="1"/>
  <c r="J86" i="23"/>
  <c r="I72" i="23"/>
  <c r="K73" i="23"/>
  <c r="L73" i="23" s="1"/>
  <c r="K36" i="23"/>
  <c r="L36" i="23" s="1"/>
  <c r="I34" i="23"/>
  <c r="J37" i="23"/>
  <c r="C2" i="25" s="1"/>
  <c r="C7" i="25" s="1"/>
  <c r="C14" i="25" s="1"/>
  <c r="D104" i="19"/>
  <c r="D84" i="19" s="1"/>
  <c r="D6" i="19"/>
  <c r="L130" i="23" l="1"/>
  <c r="I13" i="23"/>
  <c r="K13" i="23" s="1"/>
  <c r="L13" i="23" s="1"/>
  <c r="J92" i="23"/>
  <c r="K72" i="23"/>
  <c r="I46" i="23"/>
  <c r="B4" i="25" s="1"/>
  <c r="D4" i="25" s="1"/>
  <c r="E4" i="25" s="1"/>
  <c r="K34" i="23"/>
  <c r="L34" i="23" s="1"/>
  <c r="I28" i="23"/>
  <c r="D183" i="19"/>
  <c r="L72" i="23" l="1"/>
  <c r="C47" i="22"/>
  <c r="C51" i="22" s="1"/>
  <c r="I37" i="23"/>
  <c r="B2" i="25" s="1"/>
  <c r="K28" i="23"/>
  <c r="L28" i="23" s="1"/>
  <c r="I86" i="23"/>
  <c r="K86" i="23" s="1"/>
  <c r="L86" i="23" s="1"/>
  <c r="K46" i="23"/>
  <c r="L46" i="23" s="1"/>
  <c r="C103" i="22"/>
  <c r="B7" i="25" l="1"/>
  <c r="D2" i="25"/>
  <c r="E2" i="25" s="1"/>
  <c r="I92" i="23"/>
  <c r="K37" i="23"/>
  <c r="L37" i="23" s="1"/>
  <c r="D7" i="25" l="1"/>
  <c r="E7" i="25" s="1"/>
  <c r="K92" i="23"/>
  <c r="L92" i="23" s="1"/>
  <c r="E565" i="4"/>
  <c r="E564" i="4"/>
  <c r="E563" i="4"/>
  <c r="E561" i="4"/>
  <c r="E560" i="4"/>
  <c r="E559" i="4"/>
  <c r="E558" i="4"/>
  <c r="E553" i="4"/>
  <c r="E552" i="4"/>
  <c r="E551" i="4"/>
  <c r="E550" i="4"/>
  <c r="E549" i="4"/>
  <c r="E548" i="4"/>
  <c r="E547" i="4"/>
  <c r="E546" i="4"/>
  <c r="E544" i="4"/>
  <c r="E543" i="4"/>
  <c r="E541" i="4"/>
  <c r="E540" i="4"/>
  <c r="E539" i="4"/>
  <c r="E538" i="4"/>
  <c r="E537" i="4"/>
  <c r="E536" i="4"/>
  <c r="E535" i="4"/>
  <c r="E534" i="4"/>
  <c r="E532" i="4"/>
  <c r="E530" i="4"/>
  <c r="E529" i="4"/>
  <c r="E526" i="4"/>
  <c r="E525" i="4"/>
  <c r="E523" i="4"/>
  <c r="E521" i="4"/>
  <c r="E520" i="4"/>
  <c r="E519" i="4"/>
  <c r="E518" i="4"/>
  <c r="E517" i="4"/>
  <c r="E516" i="4"/>
  <c r="E515" i="4"/>
  <c r="E514" i="4"/>
  <c r="E512" i="4"/>
  <c r="E510" i="4"/>
  <c r="E509" i="4"/>
  <c r="E508" i="4"/>
  <c r="E507" i="4"/>
  <c r="E506" i="4"/>
  <c r="E505" i="4"/>
  <c r="E504" i="4"/>
  <c r="E502" i="4"/>
  <c r="E501" i="4"/>
  <c r="E499" i="4"/>
  <c r="E497" i="4"/>
  <c r="E493" i="4"/>
  <c r="E492" i="4"/>
  <c r="E489" i="4"/>
  <c r="E488" i="4"/>
  <c r="E486" i="4"/>
  <c r="E485" i="4"/>
  <c r="E484" i="4"/>
  <c r="E482" i="4"/>
  <c r="E481" i="4"/>
  <c r="E480" i="4"/>
  <c r="E479" i="4"/>
  <c r="E478" i="4"/>
  <c r="E476" i="4"/>
  <c r="E475" i="4"/>
  <c r="E474" i="4"/>
  <c r="E470" i="4"/>
  <c r="E469" i="4"/>
  <c r="E468" i="4"/>
  <c r="E467" i="4"/>
  <c r="E466" i="4"/>
  <c r="E465" i="4"/>
  <c r="E464" i="4"/>
  <c r="E463" i="4"/>
  <c r="E462" i="4"/>
  <c r="E461" i="4"/>
  <c r="E459" i="4"/>
  <c r="E458" i="4"/>
  <c r="E457" i="4"/>
  <c r="E456" i="4"/>
  <c r="E455" i="4"/>
  <c r="E454" i="4"/>
  <c r="E452" i="4"/>
  <c r="E451" i="4"/>
  <c r="E450" i="4"/>
  <c r="E449" i="4"/>
  <c r="E448" i="4"/>
  <c r="E447" i="4"/>
  <c r="E446" i="4"/>
  <c r="E445" i="4"/>
  <c r="E442" i="4"/>
  <c r="E441" i="4"/>
  <c r="E440" i="4"/>
  <c r="E439" i="4"/>
  <c r="E438" i="4"/>
  <c r="E437" i="4"/>
  <c r="E435" i="4"/>
  <c r="E434" i="4"/>
  <c r="E433" i="4"/>
  <c r="E432" i="4"/>
  <c r="E431" i="4"/>
  <c r="E430" i="4"/>
  <c r="E429" i="4"/>
  <c r="E428" i="4"/>
  <c r="E425" i="4"/>
  <c r="E424" i="4"/>
  <c r="E422" i="4"/>
  <c r="E421" i="4"/>
  <c r="E420" i="4"/>
  <c r="E417" i="4"/>
  <c r="E415" i="4"/>
  <c r="E414" i="4"/>
  <c r="E413" i="4"/>
  <c r="E412" i="4"/>
  <c r="E410" i="4"/>
  <c r="E409" i="4"/>
  <c r="E407" i="4"/>
  <c r="E406" i="4"/>
  <c r="E405" i="4"/>
  <c r="E403" i="4"/>
  <c r="E402" i="4"/>
  <c r="E401" i="4"/>
  <c r="E398" i="4"/>
  <c r="E397" i="4"/>
  <c r="E396" i="4"/>
  <c r="E394" i="4"/>
  <c r="E393" i="4"/>
  <c r="E392" i="4"/>
  <c r="E389" i="4"/>
  <c r="E388" i="4"/>
  <c r="E387" i="4"/>
  <c r="E385" i="4"/>
  <c r="E384" i="4"/>
  <c r="E383" i="4"/>
  <c r="E380" i="4"/>
  <c r="E379" i="4"/>
  <c r="E378" i="4"/>
  <c r="E376" i="4"/>
  <c r="E375" i="4"/>
  <c r="E374" i="4"/>
  <c r="E372" i="4"/>
  <c r="E371" i="4"/>
  <c r="E370" i="4"/>
  <c r="E365" i="4"/>
  <c r="E364" i="4"/>
  <c r="E363" i="4"/>
  <c r="E362" i="4"/>
  <c r="E360" i="4"/>
  <c r="E359" i="4"/>
  <c r="E357" i="4"/>
  <c r="E355" i="4"/>
  <c r="E354" i="4"/>
  <c r="E353" i="4"/>
  <c r="E352" i="4"/>
  <c r="E351" i="4"/>
  <c r="E350" i="4"/>
  <c r="E349" i="4"/>
  <c r="E347" i="4"/>
  <c r="E346" i="4"/>
  <c r="E344" i="4"/>
  <c r="E343" i="4"/>
  <c r="E342" i="4"/>
  <c r="E340" i="4"/>
  <c r="E339" i="4"/>
  <c r="E338" i="4"/>
  <c r="E337" i="4"/>
  <c r="E336" i="4"/>
  <c r="E335" i="4"/>
  <c r="E333" i="4"/>
  <c r="E332" i="4"/>
  <c r="E330" i="4"/>
  <c r="E329" i="4"/>
  <c r="E328" i="4"/>
  <c r="E326" i="4"/>
  <c r="E325" i="4"/>
  <c r="E323" i="4"/>
  <c r="E322" i="4"/>
  <c r="E321" i="4"/>
  <c r="E320" i="4"/>
  <c r="E319" i="4"/>
  <c r="E318" i="4"/>
  <c r="E317" i="4"/>
  <c r="E316" i="4"/>
  <c r="E315" i="4"/>
  <c r="E313" i="4"/>
  <c r="E312" i="4"/>
  <c r="E309" i="4"/>
  <c r="E308" i="4"/>
  <c r="E307" i="4"/>
  <c r="E306" i="4"/>
  <c r="E304" i="4"/>
  <c r="E303" i="4"/>
  <c r="E302" i="4"/>
  <c r="E300" i="4"/>
  <c r="E299" i="4"/>
  <c r="E298" i="4"/>
  <c r="E296" i="4"/>
  <c r="E295" i="4"/>
  <c r="E294" i="4"/>
  <c r="E293" i="4"/>
  <c r="E292" i="4"/>
  <c r="E291" i="4"/>
  <c r="E289" i="4"/>
  <c r="E288" i="4"/>
  <c r="E286" i="4"/>
  <c r="E285" i="4"/>
  <c r="E284" i="4"/>
  <c r="E283" i="4"/>
  <c r="E282" i="4"/>
  <c r="E281" i="4"/>
  <c r="E280" i="4"/>
  <c r="E278" i="4"/>
  <c r="E277" i="4"/>
  <c r="E276" i="4"/>
  <c r="E275" i="4"/>
  <c r="E274" i="4"/>
  <c r="E273" i="4"/>
  <c r="E272" i="4"/>
  <c r="E270" i="4"/>
  <c r="E269" i="4"/>
  <c r="E268" i="4"/>
  <c r="E267" i="4"/>
  <c r="E266" i="4"/>
  <c r="E265" i="4"/>
  <c r="E264" i="4"/>
  <c r="E261" i="4"/>
  <c r="E260" i="4"/>
  <c r="E259" i="4"/>
  <c r="E258" i="4"/>
  <c r="E256" i="4"/>
  <c r="E255" i="4"/>
  <c r="E254" i="4"/>
  <c r="E253" i="4"/>
  <c r="E252" i="4"/>
  <c r="E250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33" i="4"/>
  <c r="E231" i="4"/>
  <c r="E230" i="4"/>
  <c r="E229" i="4"/>
  <c r="E227" i="4"/>
  <c r="E226" i="4"/>
  <c r="E225" i="4"/>
  <c r="E224" i="4"/>
  <c r="E222" i="4"/>
  <c r="E221" i="4"/>
  <c r="E220" i="4"/>
  <c r="E219" i="4"/>
  <c r="E217" i="4"/>
  <c r="E216" i="4"/>
  <c r="E215" i="4"/>
  <c r="E214" i="4"/>
  <c r="E213" i="4"/>
  <c r="E211" i="4"/>
  <c r="E210" i="4"/>
  <c r="E209" i="4"/>
  <c r="E208" i="4"/>
  <c r="E207" i="4"/>
  <c r="E206" i="4"/>
  <c r="E205" i="4"/>
  <c r="E204" i="4"/>
  <c r="E203" i="4"/>
  <c r="E202" i="4"/>
  <c r="E200" i="4"/>
  <c r="E199" i="4"/>
  <c r="E198" i="4"/>
  <c r="E197" i="4"/>
  <c r="E196" i="4"/>
  <c r="E195" i="4"/>
  <c r="E194" i="4"/>
  <c r="E192" i="4"/>
  <c r="E191" i="4"/>
  <c r="E190" i="4"/>
  <c r="E188" i="4"/>
  <c r="E187" i="4"/>
  <c r="E186" i="4"/>
  <c r="E185" i="4"/>
  <c r="E184" i="4"/>
  <c r="E183" i="4"/>
  <c r="E178" i="4"/>
  <c r="E177" i="4"/>
  <c r="E176" i="4"/>
  <c r="E175" i="4"/>
  <c r="E174" i="4"/>
  <c r="E173" i="4"/>
  <c r="E172" i="4"/>
  <c r="E170" i="4"/>
  <c r="E169" i="4"/>
  <c r="E168" i="4"/>
  <c r="E167" i="4"/>
  <c r="E166" i="4"/>
  <c r="E165" i="4"/>
  <c r="E164" i="4"/>
  <c r="E163" i="4"/>
  <c r="E161" i="4"/>
  <c r="E160" i="4"/>
  <c r="E159" i="4"/>
  <c r="E158" i="4"/>
  <c r="E157" i="4"/>
  <c r="E156" i="4"/>
  <c r="E155" i="4"/>
  <c r="E154" i="4"/>
  <c r="E152" i="4"/>
  <c r="E151" i="4"/>
  <c r="E150" i="4"/>
  <c r="E148" i="4"/>
  <c r="E147" i="4"/>
  <c r="E146" i="4"/>
  <c r="E144" i="4"/>
  <c r="E143" i="4"/>
  <c r="E142" i="4"/>
  <c r="E136" i="4"/>
  <c r="E135" i="4"/>
  <c r="E134" i="4"/>
  <c r="E132" i="4"/>
  <c r="E131" i="4"/>
  <c r="E130" i="4"/>
  <c r="E129" i="4"/>
  <c r="E128" i="4"/>
  <c r="E127" i="4"/>
  <c r="E126" i="4"/>
  <c r="E124" i="4"/>
  <c r="E123" i="4"/>
  <c r="E122" i="4"/>
  <c r="E120" i="4"/>
  <c r="E119" i="4"/>
  <c r="E118" i="4"/>
  <c r="E117" i="4"/>
  <c r="E116" i="4"/>
  <c r="E113" i="4"/>
  <c r="E112" i="4"/>
  <c r="E111" i="4"/>
  <c r="E109" i="4"/>
  <c r="E108" i="4"/>
  <c r="E107" i="4"/>
  <c r="E106" i="4"/>
  <c r="E104" i="4"/>
  <c r="E103" i="4"/>
  <c r="E101" i="4"/>
  <c r="E99" i="4"/>
  <c r="E98" i="4"/>
  <c r="E97" i="4"/>
  <c r="E96" i="4"/>
  <c r="E95" i="4"/>
  <c r="E94" i="4"/>
  <c r="E93" i="4"/>
  <c r="E91" i="4"/>
  <c r="E90" i="4"/>
  <c r="E89" i="4"/>
  <c r="E88" i="4"/>
  <c r="E87" i="4"/>
  <c r="E86" i="4"/>
  <c r="E84" i="4"/>
  <c r="E83" i="4"/>
  <c r="E82" i="4"/>
  <c r="E81" i="4"/>
  <c r="E80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4" i="4"/>
  <c r="E43" i="4"/>
  <c r="E42" i="4"/>
  <c r="E41" i="4"/>
  <c r="E40" i="4"/>
  <c r="E38" i="4"/>
  <c r="E37" i="4"/>
  <c r="E35" i="4"/>
  <c r="E34" i="4"/>
  <c r="E33" i="4"/>
  <c r="E32" i="4"/>
  <c r="E31" i="4"/>
  <c r="E29" i="4"/>
  <c r="E28" i="4"/>
  <c r="E27" i="4"/>
  <c r="E26" i="4"/>
  <c r="E25" i="4"/>
  <c r="E23" i="4"/>
  <c r="E22" i="4"/>
  <c r="E20" i="4"/>
  <c r="E19" i="4"/>
  <c r="E18" i="4"/>
  <c r="E17" i="4"/>
  <c r="E14" i="4"/>
  <c r="E13" i="4"/>
  <c r="E12" i="4"/>
  <c r="E11" i="4"/>
  <c r="E9" i="4"/>
  <c r="E8" i="4"/>
  <c r="D22" i="4"/>
  <c r="E121" i="4" l="1"/>
  <c r="E36" i="4"/>
  <c r="E102" i="4"/>
  <c r="E110" i="4"/>
  <c r="E263" i="4"/>
  <c r="E262" i="4" s="1"/>
  <c r="E133" i="4"/>
  <c r="E30" i="4"/>
  <c r="E105" i="4"/>
  <c r="E473" i="4"/>
  <c r="E562" i="4"/>
  <c r="E545" i="4"/>
  <c r="E542" i="4" s="1"/>
  <c r="E557" i="4"/>
  <c r="E483" i="4"/>
  <c r="E314" i="4"/>
  <c r="E218" i="4"/>
  <c r="E324" i="4"/>
  <c r="E391" i="4"/>
  <c r="E358" i="4"/>
  <c r="E297" i="4"/>
  <c r="E494" i="4"/>
  <c r="E232" i="4"/>
  <c r="E228" i="4" s="1"/>
  <c r="E223" i="4"/>
  <c r="E149" i="4"/>
  <c r="E345" i="4"/>
  <c r="E171" i="4"/>
  <c r="E327" i="4"/>
  <c r="E423" i="4"/>
  <c r="E189" i="4"/>
  <c r="E279" i="4"/>
  <c r="E382" i="4"/>
  <c r="E212" i="4"/>
  <c r="E251" i="4"/>
  <c r="E386" i="4"/>
  <c r="E341" i="4"/>
  <c r="E271" i="4"/>
  <c r="E369" i="4"/>
  <c r="E533" i="4"/>
  <c r="E531" i="4" s="1"/>
  <c r="E153" i="4"/>
  <c r="E238" i="4"/>
  <c r="E257" i="4"/>
  <c r="E348" i="4"/>
  <c r="E361" i="4"/>
  <c r="E395" i="4"/>
  <c r="E404" i="4"/>
  <c r="E419" i="4"/>
  <c r="E418" i="4" s="1"/>
  <c r="E416" i="4" s="1"/>
  <c r="E487" i="4"/>
  <c r="E513" i="4"/>
  <c r="E511" i="4" s="1"/>
  <c r="E85" i="4"/>
  <c r="E145" i="4"/>
  <c r="E141" i="4" s="1"/>
  <c r="E290" i="4"/>
  <c r="E377" i="4"/>
  <c r="E460" i="4"/>
  <c r="E503" i="4"/>
  <c r="E500" i="4" s="1"/>
  <c r="E10" i="4"/>
  <c r="E7" i="4" s="1"/>
  <c r="E6" i="4" s="1"/>
  <c r="E21" i="4"/>
  <c r="E39" i="4"/>
  <c r="E334" i="4"/>
  <c r="E400" i="4"/>
  <c r="E411" i="4"/>
  <c r="E408" i="4" s="1"/>
  <c r="E528" i="4"/>
  <c r="E444" i="4"/>
  <c r="E125" i="4"/>
  <c r="E244" i="4"/>
  <c r="E453" i="4"/>
  <c r="E92" i="4"/>
  <c r="E24" i="4"/>
  <c r="E79" i="4"/>
  <c r="E64" i="4" s="1"/>
  <c r="E115" i="4"/>
  <c r="E114" i="4" s="1"/>
  <c r="E427" i="4"/>
  <c r="E436" i="4"/>
  <c r="E162" i="4"/>
  <c r="E16" i="4"/>
  <c r="E47" i="4"/>
  <c r="E182" i="4"/>
  <c r="E181" i="4" s="1"/>
  <c r="E201" i="4"/>
  <c r="E193" i="4" s="1"/>
  <c r="E301" i="4"/>
  <c r="E373" i="4"/>
  <c r="E477" i="4"/>
  <c r="E356" i="4" l="1"/>
  <c r="E490" i="4"/>
  <c r="E100" i="4"/>
  <c r="E498" i="4"/>
  <c r="E496" i="4" s="1"/>
  <c r="E287" i="4"/>
  <c r="E180" i="4" s="1"/>
  <c r="E311" i="4"/>
  <c r="E443" i="4"/>
  <c r="E566" i="4"/>
  <c r="E390" i="4"/>
  <c r="E527" i="4"/>
  <c r="E524" i="4" s="1"/>
  <c r="E522" i="4" s="1"/>
  <c r="E331" i="4"/>
  <c r="E140" i="4"/>
  <c r="E139" i="4" s="1"/>
  <c r="E381" i="4"/>
  <c r="E399" i="4"/>
  <c r="E368" i="4"/>
  <c r="E367" i="4" s="1"/>
  <c r="E426" i="4"/>
  <c r="E15" i="4"/>
  <c r="E5" i="4" s="1"/>
  <c r="E46" i="4"/>
  <c r="E45" i="4" s="1"/>
  <c r="E554" i="4" l="1"/>
  <c r="E137" i="4"/>
  <c r="E310" i="4"/>
  <c r="E179" i="4" s="1"/>
  <c r="E366" i="4"/>
  <c r="D493" i="4"/>
  <c r="D565" i="4"/>
  <c r="D564" i="4"/>
  <c r="D563" i="4"/>
  <c r="D561" i="4"/>
  <c r="D560" i="4"/>
  <c r="D559" i="4"/>
  <c r="D558" i="4"/>
  <c r="D553" i="4"/>
  <c r="D552" i="4"/>
  <c r="D551" i="4"/>
  <c r="D550" i="4"/>
  <c r="D549" i="4"/>
  <c r="D548" i="4"/>
  <c r="D547" i="4"/>
  <c r="D546" i="4"/>
  <c r="D544" i="4"/>
  <c r="D543" i="4"/>
  <c r="D541" i="4"/>
  <c r="D540" i="4"/>
  <c r="D539" i="4"/>
  <c r="D538" i="4"/>
  <c r="D537" i="4"/>
  <c r="D536" i="4"/>
  <c r="D535" i="4"/>
  <c r="D534" i="4"/>
  <c r="D532" i="4"/>
  <c r="D530" i="4"/>
  <c r="D529" i="4"/>
  <c r="D526" i="4"/>
  <c r="D525" i="4"/>
  <c r="D523" i="4"/>
  <c r="D521" i="4"/>
  <c r="D520" i="4"/>
  <c r="D519" i="4"/>
  <c r="D518" i="4"/>
  <c r="D517" i="4"/>
  <c r="D516" i="4"/>
  <c r="D515" i="4"/>
  <c r="D514" i="4"/>
  <c r="D512" i="4"/>
  <c r="D492" i="4"/>
  <c r="D510" i="4"/>
  <c r="D509" i="4"/>
  <c r="D508" i="4"/>
  <c r="D507" i="4"/>
  <c r="D506" i="4"/>
  <c r="D505" i="4"/>
  <c r="D504" i="4"/>
  <c r="D502" i="4"/>
  <c r="D501" i="4"/>
  <c r="D499" i="4"/>
  <c r="D497" i="4"/>
  <c r="D489" i="4"/>
  <c r="D488" i="4"/>
  <c r="D486" i="4"/>
  <c r="D485" i="4"/>
  <c r="D484" i="4"/>
  <c r="D482" i="4"/>
  <c r="D481" i="4"/>
  <c r="D480" i="4"/>
  <c r="D479" i="4"/>
  <c r="D478" i="4"/>
  <c r="D476" i="4"/>
  <c r="D475" i="4"/>
  <c r="D474" i="4"/>
  <c r="D470" i="4"/>
  <c r="D469" i="4"/>
  <c r="D468" i="4"/>
  <c r="D467" i="4"/>
  <c r="D466" i="4"/>
  <c r="D465" i="4"/>
  <c r="D464" i="4"/>
  <c r="D463" i="4"/>
  <c r="D462" i="4"/>
  <c r="D461" i="4"/>
  <c r="D459" i="4"/>
  <c r="D458" i="4"/>
  <c r="D457" i="4"/>
  <c r="D456" i="4"/>
  <c r="D455" i="4"/>
  <c r="D454" i="4"/>
  <c r="D452" i="4"/>
  <c r="D451" i="4"/>
  <c r="D450" i="4"/>
  <c r="D449" i="4"/>
  <c r="D448" i="4"/>
  <c r="D447" i="4"/>
  <c r="D446" i="4"/>
  <c r="D445" i="4"/>
  <c r="D442" i="4"/>
  <c r="D441" i="4"/>
  <c r="D440" i="4"/>
  <c r="D439" i="4"/>
  <c r="D438" i="4"/>
  <c r="D437" i="4"/>
  <c r="D435" i="4"/>
  <c r="D434" i="4"/>
  <c r="D433" i="4"/>
  <c r="D432" i="4"/>
  <c r="D431" i="4"/>
  <c r="D430" i="4"/>
  <c r="D429" i="4"/>
  <c r="D428" i="4"/>
  <c r="D425" i="4"/>
  <c r="D424" i="4"/>
  <c r="D422" i="4"/>
  <c r="D421" i="4"/>
  <c r="D420" i="4"/>
  <c r="D417" i="4"/>
  <c r="D415" i="4"/>
  <c r="D414" i="4"/>
  <c r="D413" i="4"/>
  <c r="D412" i="4"/>
  <c r="D410" i="4"/>
  <c r="D409" i="4"/>
  <c r="D407" i="4"/>
  <c r="D406" i="4"/>
  <c r="D405" i="4"/>
  <c r="D403" i="4"/>
  <c r="D402" i="4"/>
  <c r="D401" i="4"/>
  <c r="D398" i="4"/>
  <c r="D397" i="4"/>
  <c r="D396" i="4"/>
  <c r="D394" i="4"/>
  <c r="D393" i="4"/>
  <c r="D392" i="4"/>
  <c r="E471" i="4" l="1"/>
  <c r="E555" i="4" s="1"/>
  <c r="E567" i="4" s="1"/>
  <c r="D389" i="4"/>
  <c r="D388" i="4"/>
  <c r="D387" i="4"/>
  <c r="D385" i="4"/>
  <c r="D384" i="4"/>
  <c r="D383" i="4"/>
  <c r="D380" i="4"/>
  <c r="D379" i="4"/>
  <c r="D378" i="4"/>
  <c r="D376" i="4"/>
  <c r="D375" i="4"/>
  <c r="D374" i="4"/>
  <c r="D372" i="4"/>
  <c r="D371" i="4"/>
  <c r="D370" i="4"/>
  <c r="D365" i="4"/>
  <c r="D364" i="4"/>
  <c r="D363" i="4"/>
  <c r="D362" i="4"/>
  <c r="D360" i="4"/>
  <c r="D359" i="4"/>
  <c r="D357" i="4"/>
  <c r="D355" i="4"/>
  <c r="D354" i="4"/>
  <c r="D353" i="4"/>
  <c r="D352" i="4"/>
  <c r="D351" i="4"/>
  <c r="D350" i="4"/>
  <c r="D349" i="4"/>
  <c r="D347" i="4"/>
  <c r="D346" i="4"/>
  <c r="D344" i="4"/>
  <c r="D343" i="4"/>
  <c r="D342" i="4"/>
  <c r="D340" i="4"/>
  <c r="D339" i="4"/>
  <c r="D338" i="4"/>
  <c r="D337" i="4"/>
  <c r="D336" i="4"/>
  <c r="D335" i="4"/>
  <c r="D333" i="4"/>
  <c r="D332" i="4"/>
  <c r="D330" i="4"/>
  <c r="D329" i="4"/>
  <c r="D328" i="4"/>
  <c r="D326" i="4"/>
  <c r="D325" i="4"/>
  <c r="D323" i="4"/>
  <c r="D322" i="4"/>
  <c r="D321" i="4"/>
  <c r="D320" i="4"/>
  <c r="D319" i="4"/>
  <c r="D318" i="4"/>
  <c r="D317" i="4"/>
  <c r="D316" i="4"/>
  <c r="D315" i="4"/>
  <c r="D313" i="4"/>
  <c r="D312" i="4"/>
  <c r="D309" i="4"/>
  <c r="D308" i="4"/>
  <c r="D307" i="4"/>
  <c r="D306" i="4"/>
  <c r="D304" i="4"/>
  <c r="D303" i="4"/>
  <c r="D302" i="4"/>
  <c r="D300" i="4"/>
  <c r="D299" i="4"/>
  <c r="D298" i="4"/>
  <c r="D296" i="4"/>
  <c r="D295" i="4"/>
  <c r="D294" i="4"/>
  <c r="D293" i="4"/>
  <c r="D292" i="4"/>
  <c r="D291" i="4"/>
  <c r="D289" i="4"/>
  <c r="D288" i="4"/>
  <c r="D286" i="4"/>
  <c r="D285" i="4"/>
  <c r="D284" i="4"/>
  <c r="D283" i="4"/>
  <c r="D282" i="4"/>
  <c r="D281" i="4"/>
  <c r="D280" i="4"/>
  <c r="D278" i="4"/>
  <c r="D277" i="4"/>
  <c r="D276" i="4"/>
  <c r="D275" i="4"/>
  <c r="D274" i="4"/>
  <c r="D273" i="4"/>
  <c r="D272" i="4"/>
  <c r="D270" i="4"/>
  <c r="D269" i="4"/>
  <c r="D268" i="4"/>
  <c r="D267" i="4"/>
  <c r="D266" i="4"/>
  <c r="D265" i="4"/>
  <c r="D264" i="4"/>
  <c r="D261" i="4"/>
  <c r="D260" i="4"/>
  <c r="D259" i="4"/>
  <c r="D258" i="4"/>
  <c r="D256" i="4"/>
  <c r="D255" i="4"/>
  <c r="D254" i="4"/>
  <c r="D253" i="4"/>
  <c r="D252" i="4"/>
  <c r="D250" i="4"/>
  <c r="D249" i="4"/>
  <c r="D247" i="4"/>
  <c r="D246" i="4"/>
  <c r="D245" i="4"/>
  <c r="D243" i="4"/>
  <c r="D242" i="4"/>
  <c r="D241" i="4"/>
  <c r="D240" i="4"/>
  <c r="D239" i="4"/>
  <c r="D236" i="4"/>
  <c r="D237" i="4"/>
  <c r="D235" i="4"/>
  <c r="D234" i="4"/>
  <c r="D233" i="4"/>
  <c r="D231" i="4"/>
  <c r="D230" i="4"/>
  <c r="D229" i="4"/>
  <c r="D227" i="4"/>
  <c r="D226" i="4"/>
  <c r="D225" i="4"/>
  <c r="D224" i="4"/>
  <c r="D222" i="4"/>
  <c r="D221" i="4"/>
  <c r="D220" i="4"/>
  <c r="D219" i="4"/>
  <c r="D217" i="4"/>
  <c r="D216" i="4"/>
  <c r="D215" i="4"/>
  <c r="D214" i="4"/>
  <c r="D213" i="4"/>
  <c r="D211" i="4"/>
  <c r="D210" i="4"/>
  <c r="D209" i="4"/>
  <c r="D208" i="4"/>
  <c r="D207" i="4"/>
  <c r="D206" i="4"/>
  <c r="D205" i="4"/>
  <c r="D204" i="4"/>
  <c r="D203" i="4"/>
  <c r="D202" i="4"/>
  <c r="D200" i="4"/>
  <c r="D199" i="4"/>
  <c r="D198" i="4"/>
  <c r="D197" i="4"/>
  <c r="D196" i="4"/>
  <c r="D195" i="4"/>
  <c r="D194" i="4"/>
  <c r="D192" i="4"/>
  <c r="D191" i="4"/>
  <c r="D190" i="4"/>
  <c r="D188" i="4"/>
  <c r="D187" i="4"/>
  <c r="D186" i="4"/>
  <c r="D185" i="4"/>
  <c r="D184" i="4"/>
  <c r="D183" i="4"/>
  <c r="D178" i="4"/>
  <c r="D177" i="4"/>
  <c r="D176" i="4"/>
  <c r="D175" i="4"/>
  <c r="D174" i="4"/>
  <c r="D173" i="4"/>
  <c r="D172" i="4"/>
  <c r="D170" i="4"/>
  <c r="D169" i="4"/>
  <c r="D168" i="4"/>
  <c r="D167" i="4"/>
  <c r="D166" i="4"/>
  <c r="D165" i="4"/>
  <c r="D164" i="4"/>
  <c r="D163" i="4"/>
  <c r="D161" i="4"/>
  <c r="D160" i="4"/>
  <c r="D159" i="4"/>
  <c r="D158" i="4"/>
  <c r="D157" i="4"/>
  <c r="D156" i="4"/>
  <c r="D155" i="4"/>
  <c r="D154" i="4"/>
  <c r="D152" i="4"/>
  <c r="D151" i="4"/>
  <c r="D150" i="4"/>
  <c r="D148" i="4"/>
  <c r="D147" i="4"/>
  <c r="D146" i="4"/>
  <c r="D144" i="4"/>
  <c r="D143" i="4"/>
  <c r="D142" i="4"/>
  <c r="D136" i="4"/>
  <c r="D135" i="4"/>
  <c r="D134" i="4"/>
  <c r="D132" i="4"/>
  <c r="D131" i="4"/>
  <c r="D130" i="4"/>
  <c r="D129" i="4"/>
  <c r="D128" i="4"/>
  <c r="D127" i="4"/>
  <c r="D126" i="4"/>
  <c r="D124" i="4"/>
  <c r="D123" i="4"/>
  <c r="D122" i="4"/>
  <c r="D119" i="4"/>
  <c r="D118" i="4"/>
  <c r="D117" i="4"/>
  <c r="D116" i="4"/>
  <c r="D112" i="4"/>
  <c r="D111" i="4"/>
  <c r="D109" i="4"/>
  <c r="D108" i="4"/>
  <c r="D107" i="4"/>
  <c r="D106" i="4"/>
  <c r="D104" i="4"/>
  <c r="D103" i="4"/>
  <c r="D101" i="4"/>
  <c r="D99" i="4"/>
  <c r="D98" i="4"/>
  <c r="D97" i="4"/>
  <c r="D96" i="4"/>
  <c r="D95" i="4"/>
  <c r="D94" i="4"/>
  <c r="D93" i="4"/>
  <c r="D90" i="4"/>
  <c r="D89" i="4"/>
  <c r="D88" i="4"/>
  <c r="D87" i="4"/>
  <c r="D86" i="4"/>
  <c r="D84" i="4"/>
  <c r="D83" i="4"/>
  <c r="D82" i="4"/>
  <c r="D81" i="4"/>
  <c r="D80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4" i="4"/>
  <c r="D43" i="4"/>
  <c r="D42" i="4"/>
  <c r="D41" i="4"/>
  <c r="D40" i="4"/>
  <c r="D38" i="4"/>
  <c r="D37" i="4"/>
  <c r="D35" i="4"/>
  <c r="D34" i="4"/>
  <c r="D33" i="4"/>
  <c r="D32" i="4"/>
  <c r="D31" i="4"/>
  <c r="D29" i="4"/>
  <c r="D28" i="4"/>
  <c r="D27" i="4"/>
  <c r="D26" i="4"/>
  <c r="D25" i="4"/>
  <c r="D23" i="4"/>
  <c r="D21" i="4" s="1"/>
  <c r="D20" i="4"/>
  <c r="D19" i="4"/>
  <c r="D18" i="4"/>
  <c r="D17" i="4"/>
  <c r="D14" i="4"/>
  <c r="D13" i="4"/>
  <c r="D12" i="4"/>
  <c r="D11" i="4"/>
  <c r="D9" i="4"/>
  <c r="D8" i="4"/>
  <c r="D120" i="4"/>
  <c r="D91" i="4"/>
  <c r="F1193" i="3" l="1"/>
  <c r="G1193" i="3" s="1"/>
  <c r="F390" i="2" l="1"/>
  <c r="F1194" i="3"/>
  <c r="G1194" i="3" s="1"/>
  <c r="E390" i="2"/>
  <c r="D117" i="1"/>
  <c r="D115" i="1"/>
  <c r="D114" i="1"/>
  <c r="D113" i="1"/>
  <c r="E112" i="1"/>
  <c r="D112" i="1"/>
  <c r="D104" i="1"/>
  <c r="D101" i="1"/>
  <c r="D96" i="1"/>
  <c r="E95" i="1"/>
  <c r="D95" i="1"/>
  <c r="D82" i="1"/>
  <c r="D75" i="1"/>
  <c r="D73" i="1"/>
  <c r="E58" i="1"/>
  <c r="D58" i="1"/>
  <c r="D33" i="1"/>
  <c r="E23" i="1"/>
  <c r="D23" i="1"/>
  <c r="D22" i="1"/>
  <c r="E21" i="1"/>
  <c r="D21" i="1"/>
  <c r="E20" i="1"/>
  <c r="D20" i="1"/>
  <c r="E19" i="1"/>
  <c r="D19" i="1"/>
  <c r="E15" i="1"/>
  <c r="D15" i="1"/>
  <c r="D14" i="1"/>
  <c r="D13" i="1"/>
  <c r="E12" i="1"/>
  <c r="D12" i="1"/>
  <c r="F58" i="1" l="1"/>
  <c r="G58" i="1" s="1"/>
  <c r="F12" i="1"/>
  <c r="G12" i="1" s="1"/>
  <c r="F20" i="1"/>
  <c r="G20" i="1" s="1"/>
  <c r="F23" i="1"/>
  <c r="G23" i="1" s="1"/>
  <c r="F95" i="1"/>
  <c r="G95" i="1" s="1"/>
  <c r="F15" i="1"/>
  <c r="G15" i="1" s="1"/>
  <c r="F21" i="1"/>
  <c r="G21" i="1" s="1"/>
  <c r="F112" i="1"/>
  <c r="G112" i="1" s="1"/>
  <c r="F19" i="1"/>
  <c r="G19" i="1" s="1"/>
  <c r="F389" i="2"/>
  <c r="E391" i="2"/>
  <c r="D113" i="4"/>
  <c r="D110" i="4" s="1"/>
  <c r="D102" i="4"/>
  <c r="D133" i="4"/>
  <c r="D34" i="1" s="1"/>
  <c r="E32" i="1"/>
  <c r="D115" i="4"/>
  <c r="D114" i="4" s="1"/>
  <c r="E13" i="1"/>
  <c r="F13" i="1" s="1"/>
  <c r="G13" i="1" s="1"/>
  <c r="E101" i="1"/>
  <c r="F101" i="1" s="1"/>
  <c r="G101" i="1" s="1"/>
  <c r="E14" i="1"/>
  <c r="F14" i="1" s="1"/>
  <c r="G14" i="1" s="1"/>
  <c r="E22" i="1"/>
  <c r="E18" i="1" s="1"/>
  <c r="E33" i="1"/>
  <c r="F33" i="1" s="1"/>
  <c r="G33" i="1" s="1"/>
  <c r="D10" i="4"/>
  <c r="D7" i="4" s="1"/>
  <c r="D6" i="4" s="1"/>
  <c r="D10" i="1" s="1"/>
  <c r="D324" i="4"/>
  <c r="E55" i="1"/>
  <c r="D341" i="4"/>
  <c r="D171" i="4"/>
  <c r="D40" i="1" s="1"/>
  <c r="D182" i="4"/>
  <c r="D181" i="4" s="1"/>
  <c r="D42" i="1" s="1"/>
  <c r="D444" i="4"/>
  <c r="D81" i="1" s="1"/>
  <c r="D460" i="4"/>
  <c r="D84" i="1" s="1"/>
  <c r="E96" i="1"/>
  <c r="E97" i="1" s="1"/>
  <c r="E115" i="1"/>
  <c r="F115" i="1" s="1"/>
  <c r="G115" i="1" s="1"/>
  <c r="D263" i="4"/>
  <c r="D262" i="4" s="1"/>
  <c r="D53" i="1" s="1"/>
  <c r="D436" i="4"/>
  <c r="D79" i="1" s="1"/>
  <c r="D111" i="1"/>
  <c r="D149" i="4"/>
  <c r="E75" i="1"/>
  <c r="F75" i="1" s="1"/>
  <c r="G75" i="1" s="1"/>
  <c r="E82" i="1"/>
  <c r="F82" i="1" s="1"/>
  <c r="G82" i="1" s="1"/>
  <c r="E104" i="1"/>
  <c r="F104" i="1" s="1"/>
  <c r="G104" i="1" s="1"/>
  <c r="E113" i="1"/>
  <c r="F113" i="1" s="1"/>
  <c r="G113" i="1" s="1"/>
  <c r="D327" i="4"/>
  <c r="D382" i="4"/>
  <c r="E73" i="1"/>
  <c r="F73" i="1" s="1"/>
  <c r="G73" i="1" s="1"/>
  <c r="E114" i="1"/>
  <c r="F114" i="1" s="1"/>
  <c r="G114" i="1" s="1"/>
  <c r="E117" i="1"/>
  <c r="F117" i="1" s="1"/>
  <c r="G117" i="1" s="1"/>
  <c r="D97" i="1"/>
  <c r="D18" i="1"/>
  <c r="D105" i="4"/>
  <c r="D212" i="4"/>
  <c r="D45" i="1" s="1"/>
  <c r="D251" i="4"/>
  <c r="D51" i="1" s="1"/>
  <c r="D47" i="4"/>
  <c r="D400" i="4"/>
  <c r="D404" i="4"/>
  <c r="D411" i="4"/>
  <c r="D408" i="4" s="1"/>
  <c r="D71" i="1" s="1"/>
  <c r="D423" i="4"/>
  <c r="D76" i="1" s="1"/>
  <c r="D557" i="4"/>
  <c r="D232" i="4"/>
  <c r="D228" i="4" s="1"/>
  <c r="D48" i="1" s="1"/>
  <c r="D30" i="4"/>
  <c r="D377" i="4"/>
  <c r="D68" i="1" s="1"/>
  <c r="D395" i="4"/>
  <c r="D503" i="4"/>
  <c r="D500" i="4" s="1"/>
  <c r="D513" i="4"/>
  <c r="D511" i="4" s="1"/>
  <c r="D218" i="4"/>
  <c r="D46" i="1" s="1"/>
  <c r="D244" i="4"/>
  <c r="D50" i="1" s="1"/>
  <c r="D345" i="4"/>
  <c r="D62" i="1" s="1"/>
  <c r="D348" i="4"/>
  <c r="D63" i="1" s="1"/>
  <c r="D373" i="4"/>
  <c r="D67" i="1" s="1"/>
  <c r="D16" i="4"/>
  <c r="D79" i="4"/>
  <c r="D64" i="4" s="1"/>
  <c r="D297" i="4"/>
  <c r="D361" i="4"/>
  <c r="D473" i="4"/>
  <c r="D477" i="4"/>
  <c r="D483" i="4"/>
  <c r="D494" i="4"/>
  <c r="D16" i="1"/>
  <c r="D85" i="4"/>
  <c r="D29" i="1" s="1"/>
  <c r="D145" i="4"/>
  <c r="D141" i="4" s="1"/>
  <c r="D201" i="4"/>
  <c r="D193" i="4" s="1"/>
  <c r="D44" i="1" s="1"/>
  <c r="D223" i="4"/>
  <c r="D47" i="1" s="1"/>
  <c r="D358" i="4"/>
  <c r="D386" i="4"/>
  <c r="D487" i="4"/>
  <c r="D36" i="4"/>
  <c r="D24" i="1" s="1"/>
  <c r="D125" i="4"/>
  <c r="D32" i="1" s="1"/>
  <c r="D162" i="4"/>
  <c r="D279" i="4"/>
  <c r="D55" i="1" s="1"/>
  <c r="D545" i="4"/>
  <c r="D542" i="4" s="1"/>
  <c r="D121" i="4"/>
  <c r="D31" i="1" s="1"/>
  <c r="D153" i="4"/>
  <c r="D189" i="4"/>
  <c r="D43" i="1" s="1"/>
  <c r="D238" i="4"/>
  <c r="D49" i="1" s="1"/>
  <c r="D257" i="4"/>
  <c r="D52" i="1" s="1"/>
  <c r="D271" i="4"/>
  <c r="D54" i="1" s="1"/>
  <c r="D369" i="4"/>
  <c r="D391" i="4"/>
  <c r="D419" i="4"/>
  <c r="D562" i="4"/>
  <c r="D314" i="4"/>
  <c r="D453" i="4"/>
  <c r="D83" i="1" s="1"/>
  <c r="D24" i="4"/>
  <c r="D17" i="1" s="1"/>
  <c r="D39" i="4"/>
  <c r="D25" i="1" s="1"/>
  <c r="D92" i="4"/>
  <c r="D28" i="1" s="1"/>
  <c r="D427" i="4"/>
  <c r="D290" i="4"/>
  <c r="D301" i="4"/>
  <c r="D57" i="1" s="1"/>
  <c r="D334" i="4"/>
  <c r="D528" i="4"/>
  <c r="D533" i="4"/>
  <c r="D531" i="4" s="1"/>
  <c r="F18" i="1" l="1"/>
  <c r="G18" i="1" s="1"/>
  <c r="F55" i="1"/>
  <c r="G55" i="1" s="1"/>
  <c r="F22" i="1"/>
  <c r="G22" i="1" s="1"/>
  <c r="F96" i="1"/>
  <c r="G96" i="1" s="1"/>
  <c r="F97" i="1"/>
  <c r="G97" i="1" s="1"/>
  <c r="F32" i="1"/>
  <c r="G32" i="1" s="1"/>
  <c r="F391" i="2"/>
  <c r="D331" i="4"/>
  <c r="D61" i="1" s="1"/>
  <c r="D46" i="4"/>
  <c r="D45" i="4" s="1"/>
  <c r="D91" i="1"/>
  <c r="D90" i="1"/>
  <c r="D11" i="1"/>
  <c r="D498" i="4"/>
  <c r="D496" i="4" s="1"/>
  <c r="E31" i="1"/>
  <c r="F31" i="1" s="1"/>
  <c r="G31" i="1" s="1"/>
  <c r="E29" i="1"/>
  <c r="F29" i="1" s="1"/>
  <c r="G29" i="1" s="1"/>
  <c r="D100" i="4"/>
  <c r="D30" i="1" s="1"/>
  <c r="E16" i="1"/>
  <c r="F16" i="1" s="1"/>
  <c r="G16" i="1" s="1"/>
  <c r="E28" i="1"/>
  <c r="F28" i="1" s="1"/>
  <c r="G28" i="1" s="1"/>
  <c r="E25" i="1"/>
  <c r="F25" i="1" s="1"/>
  <c r="G25" i="1" s="1"/>
  <c r="E34" i="1"/>
  <c r="F34" i="1" s="1"/>
  <c r="G34" i="1" s="1"/>
  <c r="E17" i="1"/>
  <c r="F17" i="1" s="1"/>
  <c r="G17" i="1" s="1"/>
  <c r="E90" i="1"/>
  <c r="E24" i="1"/>
  <c r="F24" i="1" s="1"/>
  <c r="G24" i="1" s="1"/>
  <c r="D356" i="4"/>
  <c r="D64" i="1" s="1"/>
  <c r="D311" i="4"/>
  <c r="D443" i="4"/>
  <c r="D69" i="1"/>
  <c r="D80" i="1"/>
  <c r="E60" i="1"/>
  <c r="D287" i="4"/>
  <c r="D56" i="1" s="1"/>
  <c r="E46" i="1"/>
  <c r="F46" i="1" s="1"/>
  <c r="G46" i="1" s="1"/>
  <c r="E40" i="1"/>
  <c r="F40" i="1" s="1"/>
  <c r="G40" i="1" s="1"/>
  <c r="E78" i="1"/>
  <c r="E83" i="1"/>
  <c r="F83" i="1" s="1"/>
  <c r="G83" i="1" s="1"/>
  <c r="E44" i="1"/>
  <c r="F44" i="1" s="1"/>
  <c r="G44" i="1" s="1"/>
  <c r="D418" i="4"/>
  <c r="D416" i="4" s="1"/>
  <c r="D74" i="1"/>
  <c r="E49" i="1"/>
  <c r="F49" i="1" s="1"/>
  <c r="G49" i="1" s="1"/>
  <c r="E50" i="1"/>
  <c r="F50" i="1" s="1"/>
  <c r="G50" i="1" s="1"/>
  <c r="D566" i="4"/>
  <c r="D116" i="1"/>
  <c r="E69" i="1"/>
  <c r="E111" i="1"/>
  <c r="E81" i="1"/>
  <c r="F81" i="1" s="1"/>
  <c r="G81" i="1" s="1"/>
  <c r="E116" i="1"/>
  <c r="E76" i="1"/>
  <c r="F76" i="1" s="1"/>
  <c r="G76" i="1" s="1"/>
  <c r="E74" i="1"/>
  <c r="E72" i="1" s="1"/>
  <c r="E51" i="1"/>
  <c r="F51" i="1" s="1"/>
  <c r="G51" i="1" s="1"/>
  <c r="E48" i="1"/>
  <c r="F48" i="1" s="1"/>
  <c r="G48" i="1" s="1"/>
  <c r="E52" i="1"/>
  <c r="F52" i="1" s="1"/>
  <c r="G52" i="1" s="1"/>
  <c r="E45" i="1"/>
  <c r="F45" i="1" s="1"/>
  <c r="G45" i="1" s="1"/>
  <c r="D390" i="4"/>
  <c r="E66" i="1"/>
  <c r="E57" i="1"/>
  <c r="F57" i="1" s="1"/>
  <c r="G57" i="1" s="1"/>
  <c r="E67" i="1"/>
  <c r="F67" i="1" s="1"/>
  <c r="G67" i="1" s="1"/>
  <c r="E70" i="1"/>
  <c r="E43" i="1"/>
  <c r="F43" i="1" s="1"/>
  <c r="G43" i="1" s="1"/>
  <c r="D368" i="4"/>
  <c r="D367" i="4" s="1"/>
  <c r="D66" i="1"/>
  <c r="E79" i="1"/>
  <c r="F79" i="1" s="1"/>
  <c r="G79" i="1" s="1"/>
  <c r="E47" i="1"/>
  <c r="F47" i="1" s="1"/>
  <c r="G47" i="1" s="1"/>
  <c r="D399" i="4"/>
  <c r="D381" i="4"/>
  <c r="D70" i="1"/>
  <c r="E62" i="1"/>
  <c r="F62" i="1" s="1"/>
  <c r="G62" i="1" s="1"/>
  <c r="E91" i="1"/>
  <c r="E63" i="1"/>
  <c r="F63" i="1" s="1"/>
  <c r="G63" i="1" s="1"/>
  <c r="E68" i="1"/>
  <c r="F68" i="1" s="1"/>
  <c r="G68" i="1" s="1"/>
  <c r="D426" i="4"/>
  <c r="D78" i="1"/>
  <c r="E84" i="1"/>
  <c r="F84" i="1" s="1"/>
  <c r="G84" i="1" s="1"/>
  <c r="E54" i="1"/>
  <c r="F54" i="1" s="1"/>
  <c r="G54" i="1" s="1"/>
  <c r="D15" i="4"/>
  <c r="D5" i="4" s="1"/>
  <c r="D490" i="4"/>
  <c r="D140" i="4"/>
  <c r="D527" i="4"/>
  <c r="D524" i="4" s="1"/>
  <c r="D105" i="1" s="1"/>
  <c r="F111" i="1" l="1"/>
  <c r="G111" i="1" s="1"/>
  <c r="F70" i="1"/>
  <c r="G70" i="1" s="1"/>
  <c r="D77" i="1"/>
  <c r="F78" i="1"/>
  <c r="G78" i="1" s="1"/>
  <c r="D41" i="1"/>
  <c r="D72" i="1"/>
  <c r="F72" i="1" s="1"/>
  <c r="G72" i="1" s="1"/>
  <c r="F74" i="1"/>
  <c r="G74" i="1" s="1"/>
  <c r="D9" i="1"/>
  <c r="F66" i="1"/>
  <c r="G66" i="1" s="1"/>
  <c r="F69" i="1"/>
  <c r="G69" i="1" s="1"/>
  <c r="F90" i="1"/>
  <c r="G90" i="1" s="1"/>
  <c r="D118" i="1"/>
  <c r="B4" i="24" s="1"/>
  <c r="F116" i="1"/>
  <c r="G116" i="1" s="1"/>
  <c r="F91" i="1"/>
  <c r="G91" i="1" s="1"/>
  <c r="D310" i="4"/>
  <c r="D27" i="1"/>
  <c r="D92" i="1"/>
  <c r="D137" i="4"/>
  <c r="D102" i="1"/>
  <c r="E10" i="1"/>
  <c r="F10" i="1" s="1"/>
  <c r="G10" i="1" s="1"/>
  <c r="E30" i="1"/>
  <c r="F30" i="1" s="1"/>
  <c r="G30" i="1" s="1"/>
  <c r="E11" i="1"/>
  <c r="F11" i="1" s="1"/>
  <c r="G11" i="1" s="1"/>
  <c r="D60" i="1"/>
  <c r="D180" i="4"/>
  <c r="D366" i="4"/>
  <c r="D65" i="1"/>
  <c r="D139" i="4"/>
  <c r="D39" i="1"/>
  <c r="E77" i="1"/>
  <c r="E118" i="1"/>
  <c r="C4" i="24" s="1"/>
  <c r="E61" i="1"/>
  <c r="E59" i="1" s="1"/>
  <c r="E42" i="1"/>
  <c r="F42" i="1" s="1"/>
  <c r="G42" i="1" s="1"/>
  <c r="E71" i="1"/>
  <c r="F71" i="1" s="1"/>
  <c r="G71" i="1" s="1"/>
  <c r="D522" i="4"/>
  <c r="D554" i="4" s="1"/>
  <c r="E65" i="1"/>
  <c r="E56" i="1"/>
  <c r="F56" i="1" s="1"/>
  <c r="G56" i="1" s="1"/>
  <c r="E53" i="1"/>
  <c r="F53" i="1" s="1"/>
  <c r="G53" i="1" s="1"/>
  <c r="E92" i="1"/>
  <c r="E80" i="1"/>
  <c r="F80" i="1" s="1"/>
  <c r="G80" i="1" s="1"/>
  <c r="E64" i="1"/>
  <c r="F64" i="1" s="1"/>
  <c r="G64" i="1" s="1"/>
  <c r="D100" i="1" l="1"/>
  <c r="D4" i="24"/>
  <c r="E4" i="24" s="1"/>
  <c r="F118" i="1"/>
  <c r="G118" i="1" s="1"/>
  <c r="F92" i="1"/>
  <c r="G92" i="1" s="1"/>
  <c r="F65" i="1"/>
  <c r="G65" i="1" s="1"/>
  <c r="D26" i="1"/>
  <c r="D103" i="1"/>
  <c r="D59" i="1"/>
  <c r="F59" i="1" s="1"/>
  <c r="G59" i="1" s="1"/>
  <c r="F60" i="1"/>
  <c r="G60" i="1" s="1"/>
  <c r="F77" i="1"/>
  <c r="G77" i="1" s="1"/>
  <c r="D38" i="1"/>
  <c r="F61" i="1"/>
  <c r="G61" i="1" s="1"/>
  <c r="D179" i="4"/>
  <c r="D471" i="4" s="1"/>
  <c r="D555" i="4" s="1"/>
  <c r="D567" i="4" s="1"/>
  <c r="F47" i="21" s="1"/>
  <c r="E9" i="1"/>
  <c r="F9" i="1" s="1"/>
  <c r="G9" i="1" s="1"/>
  <c r="E27" i="1"/>
  <c r="F27" i="1" s="1"/>
  <c r="G27" i="1" s="1"/>
  <c r="E102" i="1"/>
  <c r="F102" i="1" s="1"/>
  <c r="G102" i="1" s="1"/>
  <c r="E41" i="1"/>
  <c r="F41" i="1" s="1"/>
  <c r="G41" i="1" s="1"/>
  <c r="E39" i="1"/>
  <c r="F39" i="1" s="1"/>
  <c r="G39" i="1" s="1"/>
  <c r="F300" i="21" l="1"/>
  <c r="D85" i="1"/>
  <c r="B3" i="24" s="1"/>
  <c r="D106" i="1"/>
  <c r="B7" i="24" s="1"/>
  <c r="D35" i="1"/>
  <c r="B2" i="24" s="1"/>
  <c r="E100" i="1"/>
  <c r="F100" i="1" s="1"/>
  <c r="G100" i="1" s="1"/>
  <c r="E26" i="1"/>
  <c r="F26" i="1" s="1"/>
  <c r="G26" i="1" s="1"/>
  <c r="E105" i="1"/>
  <c r="F105" i="1" s="1"/>
  <c r="G105" i="1" s="1"/>
  <c r="E38" i="1"/>
  <c r="F38" i="1" s="1"/>
  <c r="G38" i="1" s="1"/>
  <c r="B5" i="24" l="1"/>
  <c r="D213" i="19"/>
  <c r="I122" i="23" s="1"/>
  <c r="F450" i="20"/>
  <c r="F317" i="21"/>
  <c r="D87" i="1"/>
  <c r="D108" i="1" s="1"/>
  <c r="D120" i="1" s="1"/>
  <c r="E35" i="1"/>
  <c r="C2" i="24" s="1"/>
  <c r="E103" i="1"/>
  <c r="F103" i="1" s="1"/>
  <c r="G103" i="1" s="1"/>
  <c r="E85" i="1"/>
  <c r="C3" i="24" s="1"/>
  <c r="D3" i="24" s="1"/>
  <c r="E3" i="24" s="1"/>
  <c r="C5" i="24" l="1"/>
  <c r="D2" i="24"/>
  <c r="E2" i="24" s="1"/>
  <c r="B8" i="24"/>
  <c r="D5" i="24"/>
  <c r="D190" i="19"/>
  <c r="D316" i="19" s="1"/>
  <c r="K183" i="19" s="1"/>
  <c r="F35" i="1"/>
  <c r="G35" i="1" s="1"/>
  <c r="F85" i="1"/>
  <c r="G85" i="1" s="1"/>
  <c r="C4" i="22"/>
  <c r="K122" i="23"/>
  <c r="L122" i="23" s="1"/>
  <c r="I123" i="23"/>
  <c r="B8" i="25" s="1"/>
  <c r="E87" i="1"/>
  <c r="F87" i="1" s="1"/>
  <c r="G87" i="1" s="1"/>
  <c r="E106" i="1"/>
  <c r="C7" i="24" s="1"/>
  <c r="D7" i="24" s="1"/>
  <c r="E7" i="24" s="1"/>
  <c r="C8" i="24" l="1"/>
  <c r="E5" i="24"/>
  <c r="D8" i="24"/>
  <c r="E8" i="24" s="1"/>
  <c r="D8" i="25"/>
  <c r="E8" i="25" s="1"/>
  <c r="B12" i="25"/>
  <c r="C25" i="22"/>
  <c r="C56" i="22" s="1"/>
  <c r="F106" i="1"/>
  <c r="G106" i="1" s="1"/>
  <c r="K123" i="23"/>
  <c r="C105" i="22" s="1"/>
  <c r="I161" i="23"/>
  <c r="I169" i="23" s="1"/>
  <c r="E108" i="1"/>
  <c r="F108" i="1" s="1"/>
  <c r="G108" i="1" s="1"/>
  <c r="D12" i="25" l="1"/>
  <c r="E12" i="25" s="1"/>
  <c r="B14" i="25"/>
  <c r="K161" i="23"/>
  <c r="L123" i="23"/>
  <c r="C106" i="22"/>
  <c r="C110" i="22" s="1"/>
  <c r="C112" i="22" s="1"/>
  <c r="C115" i="22" s="1"/>
  <c r="E120" i="1"/>
  <c r="F120" i="1" s="1"/>
  <c r="G120" i="1" s="1"/>
  <c r="L161" i="23" l="1"/>
  <c r="N92" i="23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>
  <authors>
    <author>Admin</author>
  </authors>
  <commentList>
    <comment ref="G45" authorId="0" shapeId="0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<sst xmlns="http://schemas.openxmlformats.org/spreadsheetml/2006/main" count="7968" uniqueCount="3995">
  <si>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</si>
  <si>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</si>
  <si>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</si>
  <si>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</si>
  <si>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</si>
  <si>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</si>
  <si>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</si>
  <si>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</si>
  <si>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</si>
  <si>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</si>
  <si>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</si>
  <si>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</si>
  <si>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</si>
  <si>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</si>
  <si>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</si>
  <si>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</si>
  <si>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</si>
  <si>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</si>
  <si>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</si>
  <si>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</si>
  <si>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</si>
  <si>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</si>
  <si>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</si>
  <si>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</si>
  <si>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</si>
  <si>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</si>
  <si>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</si>
  <si>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</si>
  <si>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</si>
  <si>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</si>
  <si>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</si>
  <si>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</si>
  <si>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</si>
  <si>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</si>
  <si>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</si>
  <si>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</si>
  <si>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</si>
  <si>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</si>
  <si>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</si>
  <si>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</si>
  <si>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</si>
  <si>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</si>
  <si>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</si>
  <si>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</si>
  <si>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</si>
  <si>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</si>
  <si>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</si>
  <si>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</si>
  <si>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</si>
  <si>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</si>
  <si>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</si>
  <si>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</si>
  <si>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</si>
  <si>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</si>
  <si>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</si>
  <si>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</si>
  <si>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</si>
  <si>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</si>
  <si>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</si>
  <si>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</si>
  <si>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</si>
  <si>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</si>
  <si>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</si>
  <si>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</si>
  <si>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</si>
  <si>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</si>
  <si>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</si>
  <si>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</si>
  <si>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</si>
  <si>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</si>
  <si>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</si>
  <si>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</si>
  <si>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</si>
  <si>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</si>
  <si>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</si>
  <si>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</si>
  <si>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</si>
  <si>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</si>
  <si>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</si>
  <si>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</si>
  <si>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</si>
  <si>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</si>
  <si>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</si>
  <si>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</si>
  <si>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</si>
  <si>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</si>
  <si>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</si>
  <si>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</si>
  <si>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</si>
  <si>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</si>
  <si>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</si>
  <si>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</si>
  <si>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</si>
  <si>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</si>
  <si>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</si>
  <si>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</si>
  <si>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</si>
  <si>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</si>
  <si>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</si>
  <si>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</si>
  <si>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</si>
  <si>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</si>
  <si>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</si>
  <si>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</si>
  <si>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</si>
  <si>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</si>
  <si>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</si>
  <si>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</si>
  <si>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</si>
  <si>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</si>
  <si>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</si>
  <si>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</si>
  <si>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</si>
  <si>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</si>
  <si>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</si>
  <si>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</si>
  <si>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</si>
  <si>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</si>
  <si>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</si>
  <si>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</si>
  <si>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</si>
  <si>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</si>
  <si>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</si>
  <si>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</si>
  <si>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</si>
  <si>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</si>
  <si>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</si>
  <si>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</si>
  <si>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</si>
  <si>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</si>
  <si>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</si>
  <si>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</si>
  <si>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</si>
  <si>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</si>
  <si>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</si>
  <si>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</si>
  <si>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</si>
  <si>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</si>
  <si>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</si>
  <si>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</si>
  <si>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</si>
  <si>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</si>
  <si>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</si>
  <si>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</si>
  <si>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</si>
  <si>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</si>
  <si>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</si>
  <si>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</si>
  <si>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</si>
  <si>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</si>
  <si>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</si>
  <si>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</si>
  <si>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</si>
  <si>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</si>
  <si>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</si>
  <si>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</si>
  <si>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</si>
  <si>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</si>
  <si>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</si>
  <si>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</si>
  <si>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</si>
  <si>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</si>
  <si>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</si>
  <si>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</si>
  <si>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</si>
  <si>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</si>
  <si>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</si>
  <si>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</si>
  <si>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</si>
  <si>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</si>
  <si>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</si>
  <si>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</si>
  <si>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</si>
  <si>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</si>
  <si>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</si>
  <si>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</si>
  <si>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</si>
  <si>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</si>
  <si>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</si>
  <si>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</si>
  <si>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</si>
  <si>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</si>
  <si>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</si>
  <si>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</si>
  <si>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</si>
  <si>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</si>
  <si>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</si>
  <si>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</si>
  <si>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</si>
  <si>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</si>
  <si>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</si>
  <si>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</si>
  <si>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</si>
  <si>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</si>
  <si>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</si>
  <si>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</si>
  <si>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</si>
  <si>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</si>
  <si>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</si>
  <si>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</si>
  <si>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</si>
  <si>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</si>
  <si>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</si>
  <si>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</si>
  <si>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</si>
  <si>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</si>
  <si>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</si>
  <si>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</si>
  <si>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</si>
  <si>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</si>
  <si>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</si>
  <si>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</si>
  <si>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</si>
  <si>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</si>
  <si>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</si>
  <si>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</si>
  <si>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</si>
  <si>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</si>
  <si>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</si>
  <si>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</si>
  <si>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</si>
  <si>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</si>
  <si>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</si>
  <si>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</si>
  <si>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</si>
  <si>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</si>
  <si>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</si>
  <si>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</si>
  <si>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</si>
  <si>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</si>
  <si>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</si>
  <si>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</si>
  <si>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</si>
  <si>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</si>
  <si>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</si>
  <si>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</si>
  <si>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</si>
  <si>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</si>
  <si>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</si>
  <si>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</si>
  <si>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</si>
  <si>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</si>
  <si>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</si>
  <si>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</si>
  <si>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</si>
  <si>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</si>
  <si>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</si>
  <si>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</si>
  <si>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</si>
  <si>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</si>
  <si>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</si>
  <si>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</si>
  <si>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</si>
  <si>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</si>
  <si>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</si>
  <si>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</si>
  <si>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</si>
  <si>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</si>
  <si>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</si>
  <si>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</si>
  <si>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</si>
  <si>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</si>
  <si>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</si>
  <si>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</si>
  <si>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</si>
  <si>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</si>
  <si>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</si>
  <si>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</si>
  <si>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</si>
  <si>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</si>
  <si>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</si>
  <si>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</si>
  <si>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</si>
  <si>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</si>
  <si>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</si>
  <si>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</si>
  <si>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</si>
  <si>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</si>
  <si>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</si>
  <si>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</si>
  <si>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</si>
  <si>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</si>
  <si>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</si>
  <si>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</si>
  <si>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</si>
  <si>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</si>
  <si>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</si>
  <si>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</si>
  <si>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</si>
  <si>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</si>
  <si>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</si>
  <si>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</si>
  <si>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</si>
  <si>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</si>
  <si>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</si>
  <si>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</si>
  <si>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</si>
  <si>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</si>
  <si>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</si>
  <si>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</si>
  <si>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</si>
  <si>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</si>
  <si>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</si>
  <si>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</si>
  <si>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</si>
  <si>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</si>
  <si>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</si>
  <si>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</si>
  <si>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</si>
  <si>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</si>
  <si>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</si>
  <si>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</si>
  <si>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</si>
  <si>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</si>
  <si>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</si>
  <si>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</si>
  <si>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</si>
  <si>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</si>
  <si>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</si>
  <si>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</si>
  <si>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</si>
  <si>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</si>
  <si>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</si>
  <si>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</si>
  <si>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</si>
  <si>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</si>
  <si>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</si>
  <si>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</si>
  <si>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</si>
  <si>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</si>
  <si>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</si>
  <si>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</si>
  <si>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</si>
  <si>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</si>
  <si>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</si>
  <si>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</si>
  <si>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</si>
  <si>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</si>
  <si>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</si>
  <si>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</si>
  <si>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</si>
  <si>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</si>
  <si>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</si>
  <si>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</si>
  <si>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</si>
  <si>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</si>
  <si>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</si>
  <si>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</si>
  <si>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</si>
  <si>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</si>
  <si>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</si>
  <si>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</si>
  <si>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</si>
  <si>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</si>
  <si>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</si>
  <si>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</si>
  <si>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</si>
  <si>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</si>
  <si>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</si>
  <si>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</si>
  <si>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</si>
  <si>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</si>
  <si>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</si>
  <si>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</si>
  <si>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</si>
  <si>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</si>
  <si>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</si>
  <si>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</si>
  <si>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</si>
  <si>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</si>
  <si>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</si>
  <si>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</si>
  <si>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</si>
  <si>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</si>
  <si>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</si>
  <si>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</si>
  <si>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</si>
  <si>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</si>
  <si>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</si>
  <si>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</si>
  <si>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</si>
  <si>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</si>
  <si>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</si>
  <si>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</si>
  <si>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</si>
  <si>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</si>
  <si>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</si>
  <si>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</si>
  <si>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</si>
  <si>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</si>
  <si>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</si>
  <si>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</si>
  <si>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</si>
  <si>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</si>
  <si>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</si>
  <si>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</si>
  <si>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</si>
  <si>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</si>
  <si>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</si>
  <si>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</si>
  <si>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</si>
  <si>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</si>
  <si>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</si>
  <si>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</si>
  <si>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</si>
  <si>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</si>
  <si>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</si>
  <si>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</si>
  <si>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</si>
  <si>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</si>
  <si>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</si>
  <si>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</si>
  <si>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</si>
  <si>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</si>
  <si>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</si>
  <si>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</si>
  <si>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</si>
  <si>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</si>
  <si>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</si>
  <si>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</si>
  <si>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</si>
  <si>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</si>
  <si>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</si>
  <si>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</si>
  <si>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</si>
  <si>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</si>
  <si>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</si>
  <si>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</si>
  <si>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</si>
  <si>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</si>
  <si>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</si>
  <si>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</si>
  <si>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</si>
  <si>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</si>
  <si>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</si>
  <si>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</si>
  <si>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</si>
  <si>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</si>
  <si>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</si>
  <si>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</si>
  <si>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</si>
  <si>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</si>
  <si>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</si>
  <si>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</si>
  <si>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</si>
  <si>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</si>
  <si>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</si>
  <si>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</si>
  <si>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</si>
  <si>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</si>
  <si>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</si>
  <si>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</si>
  <si>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</si>
  <si>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</si>
  <si>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</si>
  <si>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</si>
  <si>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</si>
  <si>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</si>
  <si>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</si>
  <si>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</si>
  <si>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</si>
  <si>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</si>
  <si>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</si>
  <si>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</si>
  <si>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</si>
  <si>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</si>
  <si>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</si>
  <si>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</si>
  <si>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</si>
  <si>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</si>
  <si>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</si>
  <si>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</si>
  <si>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</si>
  <si>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</si>
  <si>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</si>
  <si>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</si>
  <si>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</si>
  <si>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</si>
  <si>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</si>
  <si>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</si>
  <si>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</si>
  <si>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</si>
  <si>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</si>
  <si>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</si>
  <si>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</si>
  <si>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</si>
  <si>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</si>
  <si>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</si>
  <si>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</si>
  <si>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</si>
  <si>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</si>
  <si>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</si>
  <si>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</si>
  <si>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</si>
  <si>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</si>
  <si>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</si>
  <si>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</si>
  <si>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</si>
  <si>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</si>
  <si>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</si>
  <si>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</si>
  <si>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</si>
  <si>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</si>
  <si>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</si>
  <si>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</si>
  <si>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</si>
  <si>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</si>
  <si>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</si>
  <si>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</si>
  <si>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</si>
  <si>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</si>
  <si>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</si>
  <si>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</si>
  <si>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</si>
  <si>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</si>
  <si>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</si>
  <si>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</si>
  <si>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</si>
  <si>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</si>
  <si>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</si>
  <si>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</si>
  <si>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</si>
  <si>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</si>
  <si>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</si>
  <si>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</si>
  <si>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</si>
  <si>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</si>
  <si>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</si>
  <si>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</si>
  <si>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</si>
  <si>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</si>
  <si>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</si>
  <si>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</si>
  <si>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</si>
  <si>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</si>
  <si>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</si>
  <si>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</si>
  <si>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</si>
  <si>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</si>
  <si>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</si>
  <si>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</si>
  <si>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</si>
  <si>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</si>
  <si>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</si>
  <si>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</si>
  <si>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</si>
  <si>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</si>
  <si>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</si>
  <si>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</si>
  <si>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</si>
  <si>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</si>
  <si>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</si>
  <si>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</si>
  <si>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</si>
  <si>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</si>
  <si>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</si>
  <si>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</si>
  <si>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</si>
  <si>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</si>
  <si>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</si>
  <si>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</si>
  <si>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</si>
  <si>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</si>
  <si>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</si>
  <si>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</si>
  <si>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</si>
  <si>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</si>
  <si>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</si>
  <si>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</si>
  <si>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</si>
  <si>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</si>
  <si>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</si>
  <si>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</si>
  <si>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</si>
  <si>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</si>
  <si>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</si>
  <si>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</si>
  <si>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</si>
  <si>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</si>
  <si>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</si>
  <si>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</si>
  <si>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</si>
  <si>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</si>
  <si>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</si>
  <si>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</si>
  <si>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</si>
  <si>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</si>
  <si>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</si>
  <si>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</si>
  <si>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</si>
  <si>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</si>
  <si>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</si>
  <si>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</si>
  <si>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</si>
  <si>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</si>
  <si>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</si>
  <si>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</si>
  <si>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</si>
  <si>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</si>
  <si>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</si>
  <si>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</si>
  <si>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</si>
  <si>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</si>
  <si>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</si>
  <si>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</si>
  <si>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</si>
  <si>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</si>
  <si>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</si>
  <si>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</si>
  <si>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</si>
  <si>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</si>
  <si>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</si>
  <si>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</si>
  <si>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</si>
  <si>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</si>
  <si>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</si>
  <si>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</si>
  <si>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</si>
  <si>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</si>
  <si>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</si>
  <si>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</si>
  <si>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</si>
  <si>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</si>
  <si>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</si>
  <si>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</si>
  <si>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</si>
  <si>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</si>
  <si>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</si>
  <si>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</si>
  <si>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</si>
  <si>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</si>
  <si>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</si>
  <si>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</si>
  <si>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</si>
  <si>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</si>
  <si>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</si>
  <si>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</si>
  <si>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</si>
  <si>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</si>
  <si>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</si>
  <si>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</si>
  <si>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</si>
  <si>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</si>
  <si>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</si>
  <si>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</si>
  <si>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</si>
  <si>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</si>
  <si>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</si>
  <si>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</si>
  <si>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</si>
  <si>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</si>
  <si>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</si>
  <si>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</si>
  <si>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</si>
  <si>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</si>
  <si>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</si>
  <si>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</si>
  <si>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</si>
  <si>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</si>
  <si>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</si>
  <si>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</si>
  <si>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</si>
  <si>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</si>
  <si>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</si>
  <si>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</si>
  <si>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</si>
  <si>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</si>
  <si>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</si>
  <si>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</si>
  <si>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</si>
  <si>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</si>
  <si>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</si>
  <si>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</si>
  <si>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</si>
  <si>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</si>
  <si>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</si>
  <si>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</si>
  <si>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</si>
  <si>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</si>
  <si>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</si>
  <si>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</si>
  <si>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</si>
  <si>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</si>
  <si>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</si>
  <si>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</si>
  <si>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</si>
  <si>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</si>
  <si>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</si>
  <si>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</si>
  <si>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</si>
  <si>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</si>
  <si>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</si>
  <si>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</si>
  <si>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</si>
  <si>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</si>
  <si>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</si>
  <si>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</si>
  <si>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</si>
  <si>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</si>
  <si>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</si>
  <si>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</si>
  <si>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</si>
  <si>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</si>
  <si>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</si>
  <si>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</si>
  <si>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</si>
  <si>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</si>
  <si>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</si>
  <si>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</si>
  <si>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</si>
  <si>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</si>
  <si>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</si>
  <si>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</si>
  <si>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</si>
  <si>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</si>
  <si>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</si>
  <si>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</si>
  <si>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</si>
  <si>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</si>
  <si>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</si>
  <si>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</si>
  <si>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</si>
  <si>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</si>
  <si>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</si>
  <si>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</si>
  <si>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</si>
  <si>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</si>
  <si>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</si>
  <si>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</si>
  <si>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</si>
  <si>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</si>
  <si>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</si>
  <si>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</si>
  <si>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</si>
  <si>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</si>
  <si>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</si>
  <si>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</si>
  <si>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</si>
  <si>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</si>
  <si>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</si>
  <si>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</si>
  <si>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</si>
  <si>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</si>
  <si>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</si>
  <si>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</si>
  <si>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</si>
  <si>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</si>
  <si>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</si>
  <si>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</si>
  <si>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</si>
  <si>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</si>
  <si>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</si>
  <si>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</si>
  <si>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</si>
  <si>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</si>
  <si>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</si>
  <si>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</si>
  <si>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</si>
  <si>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</si>
  <si>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</si>
  <si>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</si>
  <si>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</si>
  <si>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</si>
  <si>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</si>
  <si>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</si>
  <si>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</si>
  <si>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</si>
  <si>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</si>
  <si>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</si>
  <si>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</si>
  <si>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</si>
  <si>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</si>
  <si>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</si>
  <si>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</si>
  <si>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</si>
  <si>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</si>
  <si>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</si>
  <si>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</si>
  <si>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</si>
  <si>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</si>
  <si>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</si>
  <si>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</si>
  <si>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</si>
  <si>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</si>
  <si>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</si>
  <si>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</si>
  <si>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</si>
  <si>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</si>
  <si>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</si>
  <si>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</si>
  <si>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</si>
  <si>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</si>
  <si>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</si>
  <si>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</si>
  <si>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</si>
  <si>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</si>
  <si>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</si>
  <si>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</si>
  <si>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</si>
  <si>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</si>
  <si>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</si>
  <si>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</si>
  <si>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</si>
  <si>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</si>
  <si>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</si>
  <si>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</si>
  <si>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</si>
  <si>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</si>
  <si>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</si>
  <si>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</si>
  <si>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</si>
  <si>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</si>
  <si>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</si>
  <si>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</si>
  <si>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</si>
  <si>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</si>
  <si>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</si>
  <si>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</si>
  <si>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</si>
  <si>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</si>
  <si>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</si>
  <si>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</si>
  <si>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</si>
  <si>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</si>
  <si>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</si>
  <si>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</si>
  <si>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</si>
  <si>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</si>
  <si>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</si>
  <si>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</si>
  <si>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</si>
  <si>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</si>
  <si>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</si>
  <si>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</si>
  <si>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</si>
  <si>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</si>
  <si>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</si>
  <si>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</si>
  <si>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</si>
  <si>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</si>
  <si>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</si>
  <si>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</si>
  <si>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</si>
  <si>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</si>
  <si>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</si>
  <si>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</si>
  <si>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</si>
  <si>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</si>
  <si>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</si>
  <si>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</si>
  <si>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</si>
  <si>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</si>
  <si>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</si>
  <si>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</si>
  <si>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</si>
  <si>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</si>
  <si>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</si>
  <si>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</si>
  <si>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</si>
  <si>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</si>
  <si>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</si>
  <si>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</si>
  <si>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</si>
  <si>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</si>
  <si>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</si>
  <si>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</si>
  <si>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</si>
  <si>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</si>
  <si>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</si>
  <si>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</si>
  <si>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</si>
  <si>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</si>
  <si>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</si>
  <si>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</si>
  <si>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</si>
  <si>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</si>
  <si>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</si>
  <si>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</si>
  <si>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</si>
  <si>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</si>
  <si>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</si>
  <si>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</si>
  <si>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</si>
  <si>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</si>
  <si>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</si>
  <si>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</si>
  <si>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</si>
  <si>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</si>
  <si>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</si>
  <si>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</si>
  <si>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</si>
  <si>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</si>
  <si>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</si>
  <si>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</si>
  <si>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</si>
  <si>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</si>
  <si>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</si>
  <si>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</si>
  <si>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</si>
  <si>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</si>
  <si>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</si>
  <si>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</si>
  <si>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</si>
  <si>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</si>
  <si>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</si>
  <si>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</si>
  <si>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</si>
  <si>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</si>
  <si>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</si>
  <si>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</si>
  <si>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</si>
  <si>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</si>
  <si>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</si>
  <si>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</si>
  <si>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</si>
  <si>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</si>
  <si>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</si>
  <si>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</si>
  <si>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</si>
  <si>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</si>
  <si>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</si>
  <si>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</si>
  <si>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</si>
  <si>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</si>
  <si>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</si>
  <si>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</si>
  <si>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</si>
  <si>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</si>
  <si>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</si>
  <si>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</si>
  <si>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</si>
  <si>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</si>
  <si>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</si>
  <si>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</si>
  <si>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</si>
  <si>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</si>
  <si>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</si>
  <si>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</si>
  <si>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</si>
  <si>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</si>
  <si>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</si>
  <si>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</si>
  <si>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</si>
  <si>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</si>
  <si>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</si>
  <si>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</si>
  <si>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</si>
  <si>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</si>
  <si>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</si>
  <si>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</si>
  <si>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</si>
  <si>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</si>
  <si>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</si>
  <si>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</si>
  <si>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</si>
  <si>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</si>
  <si>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</si>
  <si>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</si>
  <si>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</si>
  <si>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</si>
  <si>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</si>
  <si>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</si>
  <si>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</si>
  <si>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</si>
  <si>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</si>
  <si>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</si>
  <si>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</si>
  <si>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</si>
  <si>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</si>
  <si>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</si>
  <si>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</si>
  <si>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</si>
  <si>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</si>
  <si>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</si>
  <si>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</si>
  <si>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</si>
  <si>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</si>
  <si>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</si>
  <si>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</si>
  <si>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</si>
  <si>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</si>
  <si>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</si>
  <si>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</si>
  <si>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</si>
  <si>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</si>
  <si>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</si>
  <si>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</si>
  <si>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</si>
  <si>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</si>
  <si>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</si>
  <si>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</si>
  <si>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</si>
  <si>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</si>
  <si>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</si>
  <si>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</si>
  <si>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</si>
  <si>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</si>
  <si>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</si>
  <si>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</si>
  <si>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</si>
  <si>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</si>
  <si>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</si>
  <si>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</si>
  <si>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</si>
  <si>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</si>
  <si>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</si>
  <si>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</si>
  <si>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</si>
  <si>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</si>
  <si>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</si>
  <si>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</si>
  <si>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</si>
  <si>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</si>
  <si>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</si>
  <si>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</si>
  <si>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</si>
  <si>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</si>
  <si>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</si>
  <si>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</si>
  <si>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</si>
  <si>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</si>
  <si>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</si>
  <si>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</si>
  <si>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</si>
  <si>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</si>
  <si>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</si>
  <si>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</si>
  <si>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</si>
  <si>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</si>
  <si>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</si>
  <si>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</si>
  <si>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</si>
  <si>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</si>
  <si>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</si>
  <si>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</si>
  <si>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</si>
  <si>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</si>
  <si>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</si>
  <si>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</si>
  <si>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</si>
  <si>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</si>
  <si>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</si>
  <si>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</si>
  <si>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</si>
  <si>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</si>
  <si>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</si>
  <si>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</si>
  <si>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</si>
  <si>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</si>
  <si>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</si>
  <si>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</si>
  <si>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</si>
  <si>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</si>
  <si>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</si>
  <si>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</si>
  <si>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</si>
  <si>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</si>
  <si>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</si>
  <si>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</si>
  <si>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</si>
  <si>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</si>
  <si>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</si>
  <si>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</si>
  <si>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</si>
  <si>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</si>
  <si>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</si>
  <si>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</si>
  <si>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</si>
  <si>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</si>
  <si>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</si>
  <si>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</si>
  <si>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</si>
  <si>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</si>
  <si>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</si>
  <si>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</si>
  <si>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</si>
  <si>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</si>
  <si>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</si>
  <si>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</si>
  <si>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</si>
  <si>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</si>
  <si>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</si>
  <si>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</si>
  <si>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</si>
  <si>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</si>
  <si>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</si>
  <si>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</si>
  <si>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</si>
  <si>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</si>
  <si>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</si>
  <si>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</si>
  <si>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</si>
  <si>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</si>
  <si>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</si>
  <si>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</si>
  <si>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</si>
  <si>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</si>
  <si>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</si>
  <si>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</si>
  <si>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</si>
  <si>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</si>
  <si>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</si>
  <si>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</si>
  <si>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</si>
  <si>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</si>
  <si>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</si>
  <si>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</si>
  <si>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</si>
  <si>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</si>
  <si>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</si>
  <si>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</si>
  <si>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</si>
  <si>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</si>
  <si>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</si>
  <si>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</si>
  <si>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</si>
  <si>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</si>
  <si>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</si>
  <si>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</si>
  <si>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</si>
  <si>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</si>
  <si>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</si>
  <si>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</si>
  <si>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</si>
  <si>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</si>
  <si>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</si>
  <si>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</si>
  <si>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</si>
  <si>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</si>
  <si>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</si>
  <si>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</si>
  <si>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</si>
  <si>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</si>
  <si>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</si>
  <si>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</si>
  <si>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</si>
  <si>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</si>
  <si>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</si>
  <si>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</si>
  <si>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</si>
  <si>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</si>
  <si>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</si>
  <si>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</si>
  <si>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</si>
  <si>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</si>
  <si>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</si>
  <si>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</si>
  <si>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</si>
  <si>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</si>
  <si>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</si>
  <si>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</si>
  <si>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</si>
  <si>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</si>
  <si>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</si>
  <si>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</si>
  <si>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</si>
  <si>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</si>
  <si>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</si>
  <si>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</si>
  <si>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</si>
  <si>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</si>
  <si>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</si>
  <si>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</si>
  <si>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</si>
  <si>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</si>
  <si>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</si>
  <si>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</si>
  <si>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</si>
  <si>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</si>
  <si>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</si>
  <si>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</si>
  <si>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</si>
  <si>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</si>
  <si>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</si>
  <si>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</si>
  <si>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</si>
  <si>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</si>
  <si>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</si>
  <si>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</si>
  <si>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</si>
  <si>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</si>
  <si>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</si>
  <si>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</si>
  <si>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</si>
  <si>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</si>
  <si>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</si>
  <si>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</si>
  <si>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</si>
  <si>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</si>
  <si>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</si>
  <si>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</si>
  <si>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</si>
  <si>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</si>
  <si>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</si>
  <si>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</si>
  <si>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</si>
  <si>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</si>
  <si>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</si>
  <si>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</si>
  <si>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</si>
  <si>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</si>
  <si>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</si>
  <si>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</si>
  <si>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</si>
  <si>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</si>
  <si>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</si>
  <si>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</si>
  <si>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</si>
  <si>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</si>
  <si>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</si>
  <si>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</si>
  <si>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</si>
  <si>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</si>
  <si>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</si>
  <si>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</si>
  <si>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</si>
  <si>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</si>
  <si>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</si>
  <si>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</si>
  <si>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</si>
  <si>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</si>
  <si>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</si>
  <si>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</si>
  <si>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</si>
  <si>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</si>
  <si>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</si>
  <si>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</si>
  <si>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</si>
  <si>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</si>
  <si>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</si>
  <si>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</si>
  <si>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</si>
  <si>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</si>
  <si>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</si>
  <si>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</si>
  <si>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</si>
  <si>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</si>
  <si>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</si>
  <si>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</si>
  <si>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</si>
  <si>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</si>
  <si>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</si>
  <si>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</si>
  <si>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</si>
  <si>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</si>
  <si>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</si>
  <si>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</si>
  <si>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</si>
  <si>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</si>
  <si>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</si>
  <si>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</si>
  <si>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</si>
  <si>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</si>
  <si>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</si>
  <si>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</si>
  <si>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</si>
  <si>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</si>
  <si>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</si>
  <si>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</si>
  <si>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</si>
  <si>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</si>
  <si>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</si>
  <si>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</si>
  <si>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</si>
  <si>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</si>
  <si>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</si>
  <si>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</si>
  <si>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</si>
  <si>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</si>
  <si>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</si>
  <si>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</si>
  <si>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</si>
  <si>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</si>
  <si>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</si>
  <si>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</si>
  <si>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</si>
  <si>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</si>
  <si>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</si>
  <si>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</si>
  <si>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</si>
  <si>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</si>
  <si>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</si>
  <si>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</si>
  <si>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</si>
  <si>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</si>
  <si>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</si>
  <si>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</si>
  <si>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</si>
  <si>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</si>
  <si>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</si>
  <si>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</si>
  <si>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</si>
  <si>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</si>
  <si>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</si>
  <si>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</si>
  <si>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</si>
  <si>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</si>
  <si>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</si>
  <si>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</si>
  <si>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</si>
  <si>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</si>
  <si>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</si>
  <si>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</si>
  <si>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</si>
  <si>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</si>
  <si>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</si>
  <si>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</si>
  <si>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</si>
  <si>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</si>
  <si>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</si>
  <si>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</si>
  <si>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</si>
  <si>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</si>
  <si>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</si>
  <si>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</si>
  <si>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</si>
  <si>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</si>
  <si>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</si>
  <si>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</si>
  <si>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</si>
  <si>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</si>
  <si>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</si>
  <si>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</si>
  <si>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</si>
  <si>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</si>
  <si>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</si>
  <si>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</si>
  <si>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</si>
  <si>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</si>
  <si>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</si>
  <si>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</si>
  <si>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</si>
  <si>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</si>
  <si>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</si>
  <si>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</si>
  <si>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</si>
  <si>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</si>
  <si>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</si>
  <si>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</si>
  <si>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</si>
  <si>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</si>
  <si>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</si>
  <si>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</si>
  <si>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</si>
  <si>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</si>
  <si>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</si>
  <si>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</si>
  <si>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</si>
  <si>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</si>
  <si>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</si>
  <si>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</si>
  <si>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</si>
  <si>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</si>
  <si>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</si>
  <si>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</si>
  <si>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</si>
  <si>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</si>
  <si>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</si>
  <si>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</si>
  <si>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</si>
  <si>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</si>
  <si>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</si>
  <si>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</si>
  <si>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</si>
  <si>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</si>
  <si>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</si>
  <si>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</si>
  <si>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</si>
  <si>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</si>
  <si>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</si>
  <si>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</si>
  <si>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</si>
  <si>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</si>
  <si>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</si>
  <si>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</si>
  <si>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</si>
  <si>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</si>
  <si>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</si>
  <si>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</si>
  <si>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</si>
  <si>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</si>
  <si>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</si>
  <si>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</si>
  <si>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</si>
  <si>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</si>
  <si>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</si>
  <si>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</si>
  <si>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</si>
  <si>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</si>
  <si>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</si>
  <si>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</si>
  <si>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</si>
  <si>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</si>
  <si>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</si>
  <si>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</si>
  <si>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</si>
  <si>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</si>
  <si>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</si>
  <si>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</si>
  <si>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</si>
  <si>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</si>
  <si>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</si>
  <si>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</si>
  <si>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</si>
  <si>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</si>
  <si>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</si>
  <si>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</si>
  <si>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</si>
  <si>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</si>
  <si>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</si>
  <si>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</si>
  <si>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</si>
  <si>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</si>
  <si>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</si>
  <si>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</si>
  <si>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</si>
  <si>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</si>
  <si>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</si>
  <si>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</si>
  <si>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</si>
  <si>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</si>
  <si>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</si>
  <si>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</si>
  <si>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</si>
  <si>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</si>
  <si>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</si>
  <si>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</si>
  <si>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</si>
  <si>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</si>
  <si>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</si>
  <si>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</si>
  <si>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</si>
  <si>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</si>
  <si>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</si>
  <si>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</si>
  <si>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</si>
  <si>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</si>
  <si>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</si>
  <si>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</si>
  <si>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</si>
  <si>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</si>
  <si>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</si>
  <si>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</si>
  <si>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</si>
  <si>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</si>
  <si>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</si>
  <si>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</si>
  <si>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</si>
  <si>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</si>
  <si>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</si>
  <si>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</si>
  <si>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</si>
  <si>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</si>
  <si>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</si>
  <si>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</si>
  <si>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</si>
  <si>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</si>
  <si>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</si>
  <si>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</si>
  <si>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</si>
  <si>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</si>
  <si>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</si>
  <si>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</si>
  <si>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</si>
  <si>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</si>
  <si>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</si>
  <si>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</si>
  <si>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</si>
  <si>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</si>
  <si>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</si>
  <si>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</si>
  <si>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</si>
  <si>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</si>
  <si>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</si>
  <si>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</si>
  <si>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</si>
  <si>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</si>
  <si>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</si>
  <si>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</si>
  <si>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</si>
  <si>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</si>
  <si>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</si>
  <si>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</si>
  <si>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</si>
  <si>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</si>
  <si>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</si>
  <si>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</si>
  <si>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</si>
  <si>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</si>
  <si>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</si>
  <si>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</si>
  <si>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</si>
  <si>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</si>
  <si>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</si>
  <si>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</si>
  <si>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</si>
  <si>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</si>
  <si>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</si>
  <si>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</si>
  <si>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</si>
  <si>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</si>
  <si>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</si>
  <si>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</si>
  <si>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</si>
  <si>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</si>
  <si>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</si>
  <si>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</si>
  <si>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</si>
  <si>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</si>
  <si>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</si>
  <si>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</si>
  <si>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</si>
  <si>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</si>
  <si>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</si>
  <si>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</si>
  <si>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</si>
  <si>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</si>
  <si>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</si>
  <si>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</si>
  <si>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</si>
  <si>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</si>
  <si>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</si>
  <si>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</si>
  <si>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</si>
  <si>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</si>
  <si>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</si>
  <si>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</si>
  <si>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</si>
  <si>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</si>
  <si>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</si>
  <si>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</si>
  <si>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</si>
  <si>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</si>
  <si>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</si>
  <si>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</si>
  <si>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</si>
  <si>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</si>
  <si>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</si>
  <si>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</si>
  <si>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</si>
  <si>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</si>
  <si>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</si>
  <si>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</si>
  <si>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</si>
  <si>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</si>
  <si>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</si>
  <si>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</si>
  <si>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</si>
  <si>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</si>
  <si>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</si>
  <si>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</si>
  <si>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</si>
  <si>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</si>
  <si>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</si>
  <si>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</si>
  <si>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</si>
  <si>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</si>
  <si>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</si>
  <si>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</si>
  <si>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</si>
  <si>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</si>
  <si>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</si>
  <si>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</si>
  <si>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</si>
  <si>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</si>
  <si>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</si>
  <si>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</si>
  <si>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</si>
  <si>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</si>
  <si>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</si>
  <si>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</si>
  <si>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</si>
  <si>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</si>
  <si>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</si>
  <si>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</si>
  <si>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</si>
  <si>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</si>
  <si>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</si>
  <si>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</si>
  <si>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</si>
  <si>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</si>
  <si>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</si>
  <si>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</si>
  <si>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</si>
  <si>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</si>
  <si>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</si>
  <si>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</si>
  <si>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</si>
  <si>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</si>
  <si>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</si>
  <si>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</si>
  <si>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</si>
  <si>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</si>
  <si>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</si>
  <si>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</si>
  <si>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</si>
  <si>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</si>
  <si>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</si>
  <si>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</si>
  <si>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</si>
  <si>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</si>
  <si>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</si>
  <si>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</si>
  <si>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</si>
  <si>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</si>
  <si>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</si>
  <si>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</si>
  <si>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</si>
  <si>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</si>
  <si>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</si>
  <si>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</si>
  <si>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</si>
  <si>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</si>
  <si>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</si>
  <si>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</si>
  <si>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</si>
  <si>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</si>
  <si>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</si>
  <si>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</si>
  <si>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</si>
  <si>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</si>
  <si>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</si>
  <si>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</si>
  <si>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</si>
  <si>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</si>
  <si>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</si>
  <si>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</si>
  <si>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</si>
  <si>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</si>
  <si>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</si>
  <si>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</si>
  <si>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</si>
  <si>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</si>
  <si>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</si>
  <si>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</si>
  <si>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</si>
  <si>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</si>
  <si>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</si>
  <si>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</si>
  <si>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</si>
  <si>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</si>
  <si>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</si>
  <si>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</si>
  <si>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</si>
  <si>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</si>
  <si>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</si>
  <si>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</si>
  <si>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</si>
  <si>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</si>
  <si>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</si>
  <si>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</si>
  <si>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</si>
  <si>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</si>
  <si>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</si>
  <si>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</si>
  <si>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</si>
  <si>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</si>
  <si>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</si>
  <si>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</si>
  <si>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</si>
  <si>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</si>
  <si>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</si>
  <si>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</si>
  <si>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</si>
  <si>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</si>
  <si>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</si>
  <si>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</si>
  <si>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</si>
  <si>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</si>
  <si>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</si>
  <si>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</si>
  <si>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</si>
  <si>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</si>
  <si>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</si>
  <si>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</si>
  <si>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</si>
  <si>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</si>
  <si>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</si>
  <si>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</si>
  <si>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</si>
  <si>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</si>
  <si>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</si>
  <si>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</si>
  <si>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</si>
  <si>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</si>
  <si>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</si>
  <si>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</si>
  <si>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</si>
  <si>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</si>
  <si>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</si>
  <si>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</si>
  <si>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</si>
  <si>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</si>
  <si>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</si>
  <si>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</si>
  <si>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</si>
  <si>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</si>
  <si>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</si>
  <si>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</si>
  <si>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</si>
  <si>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</si>
  <si>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</si>
  <si>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</si>
  <si>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</si>
  <si>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</si>
  <si>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</si>
  <si>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</si>
  <si>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</si>
  <si>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</si>
  <si>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</si>
  <si>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</si>
  <si>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</si>
  <si>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</si>
  <si>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</si>
  <si>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</si>
  <si>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</si>
  <si>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</si>
  <si>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</si>
  <si>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</si>
  <si>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</si>
  <si>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</si>
  <si>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</si>
  <si>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</si>
  <si>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</si>
  <si>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</si>
  <si>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</si>
  <si>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</si>
  <si>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</si>
  <si>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</si>
  <si>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</si>
  <si>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</si>
  <si>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</si>
  <si>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</si>
  <si>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</si>
  <si>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</si>
  <si>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</si>
  <si>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</si>
  <si>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</si>
  <si>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</si>
  <si>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</si>
  <si>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</si>
  <si>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</si>
  <si>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</si>
  <si>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</si>
  <si>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</si>
  <si>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</si>
  <si>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</si>
  <si>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</si>
  <si>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</si>
  <si>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</si>
  <si>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</si>
  <si>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</si>
  <si>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</si>
  <si>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</si>
  <si>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</si>
  <si>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</si>
  <si>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</si>
  <si>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</si>
  <si>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</si>
  <si>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</si>
  <si>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</si>
  <si>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</si>
  <si>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</si>
  <si>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</si>
  <si>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</si>
  <si>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</si>
  <si>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</si>
  <si>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</si>
  <si>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</si>
  <si>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</si>
  <si>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</si>
  <si>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</si>
  <si>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</si>
  <si>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</si>
  <si>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</si>
  <si>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</si>
  <si>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</si>
  <si>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</si>
  <si>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</si>
  <si>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</si>
  <si>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</si>
  <si>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</si>
  <si>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</si>
  <si>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</si>
  <si>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</si>
  <si>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</si>
  <si>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</si>
  <si>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</si>
  <si>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</si>
  <si>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</si>
  <si>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</si>
  <si>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</si>
  <si>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</si>
  <si>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</si>
  <si>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</si>
  <si>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</si>
  <si>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</si>
  <si>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</si>
  <si>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</si>
  <si>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</si>
  <si>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</si>
  <si>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</si>
  <si>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</si>
  <si>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</si>
  <si>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</si>
  <si>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</si>
  <si>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</si>
  <si>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</si>
  <si>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</si>
  <si>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</si>
  <si>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</si>
  <si>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</si>
  <si>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</si>
  <si>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</si>
  <si>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</si>
  <si>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</si>
  <si>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</si>
  <si>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</si>
  <si>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</si>
  <si>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</si>
  <si>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</si>
  <si>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</si>
  <si>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</si>
  <si>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</si>
  <si>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</si>
  <si>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</si>
  <si>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</si>
  <si>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</si>
  <si>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</si>
  <si>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</si>
  <si>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</si>
  <si>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</si>
  <si>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</si>
  <si>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</si>
  <si>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</si>
  <si>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</si>
  <si>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</si>
  <si>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</si>
  <si>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</si>
  <si>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</si>
  <si>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</si>
  <si>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</si>
  <si>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</si>
  <si>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</si>
  <si>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</si>
  <si>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</si>
  <si>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</si>
  <si>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</si>
  <si>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</si>
  <si>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</si>
  <si>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</si>
  <si>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</si>
  <si>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</si>
  <si>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</si>
  <si>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</si>
  <si>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</si>
  <si>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</si>
  <si>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</si>
  <si>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</si>
  <si>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</si>
  <si>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</si>
  <si>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</si>
  <si>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</si>
  <si>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</si>
  <si>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</si>
  <si>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</si>
  <si>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</si>
  <si>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</si>
  <si>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</si>
  <si>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</si>
  <si>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</si>
  <si>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</si>
  <si>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</si>
  <si>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</si>
  <si>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</si>
  <si>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</si>
  <si>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</si>
  <si>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</si>
  <si>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</si>
  <si>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</si>
  <si>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</si>
  <si>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</si>
  <si>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</si>
  <si>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</si>
  <si>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</si>
  <si>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</si>
  <si>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</si>
  <si>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</si>
  <si>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</si>
  <si>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</si>
  <si>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</si>
  <si>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</si>
  <si>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</si>
  <si>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</si>
  <si>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</si>
  <si>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</si>
  <si>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</si>
  <si>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</si>
  <si>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</si>
  <si>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</si>
  <si>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</si>
  <si>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</si>
  <si>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</si>
  <si>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</si>
  <si>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</si>
  <si>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</si>
  <si>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</si>
  <si>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</si>
  <si>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</si>
  <si>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</si>
  <si>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</si>
  <si>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</si>
  <si>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</si>
  <si>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</si>
  <si>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</si>
  <si>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</si>
  <si>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</si>
  <si>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</si>
  <si>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</si>
  <si>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</si>
  <si>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</si>
  <si>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</si>
  <si>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</si>
  <si>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</si>
  <si>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</si>
  <si>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</si>
  <si>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</si>
  <si>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</si>
  <si>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</si>
  <si>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</si>
  <si>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</si>
  <si>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</si>
  <si>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</si>
  <si>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</si>
  <si>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</si>
  <si>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</si>
  <si>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</si>
  <si>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</si>
  <si>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</si>
  <si>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</si>
  <si>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</si>
  <si>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</si>
  <si>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</si>
  <si>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</si>
  <si>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</si>
  <si>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</si>
  <si>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</si>
  <si>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</si>
  <si>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</si>
  <si>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</si>
  <si>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</si>
  <si>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7</t>
  </si>
  <si>
    <t>A.1.A.1.3.A) Funzioni - Pronto soccorso</t>
  </si>
  <si>
    <t>A.1.A.2) da Regione o Prov. Aut. per quota F.S. regionale vincolato</t>
  </si>
  <si>
    <t>A.1.B) Contributi c/esercizio (extra fondo)</t>
  </si>
  <si>
    <t>A.1.B.1) da Regione o Prov. Aut. (extra fondo)</t>
  </si>
  <si>
    <t>A.1.B.1.1) Contributi da Regione o Prov. Aut. (extra fondo) vincolati</t>
  </si>
  <si>
    <t>A.1.B.1.2) Contributi da Regione o Prov. Aut. (extra fondo) - Risorse aggiuntive da bilancio regionale a titolo di copertura LEA</t>
  </si>
  <si>
    <t>A.1.B.1.3) Contributi da Regione o Prov. Aut. (extra fondo) - Risorse aggiuntive da bilancio regionale a titolo di copertura extra LEA</t>
  </si>
  <si>
    <t>A.1.B.1.4) Contributi da Regione o Prov. Aut. (extra fondo) - Altro</t>
  </si>
  <si>
    <t>A.1.B.2) Contributi da Aziende sanitarie pubbliche della Regione o Prov. Aut. (extra fondo)</t>
  </si>
  <si>
    <t>A.1.B.2.1) Contributi da Aziende sanitarie pubbliche della Regione o Prov. Aut. (extra fondo) vincolati</t>
  </si>
  <si>
    <t>A.1.B.2.2) Contributi da Aziende sanitarie pubbliche della Regione o Prov. Aut. (extra fondo) altro</t>
  </si>
  <si>
    <t>A.1.B.3) Contributi da altri soggetti pubblici (extra fondo)</t>
  </si>
  <si>
    <t>A.1.B.3.5)  Contributi da altri soggetti pubblici (extra fondo) - in attuazione dell'art.79, comma 1 sexies lettera c), del D.L. 112/2008, convertito con legge 133/2008 e della legge 23 dicembre 2009, n. 191</t>
  </si>
  <si>
    <t>A.1.C) Contributi c/esercizio per ricerca</t>
  </si>
  <si>
    <t>A.1.C.1) Contributi da Ministero della Salute per ricerca corrente</t>
  </si>
  <si>
    <t>A.1.C.2) Contributi da Ministero della Salute per ricerca finalizzata</t>
  </si>
  <si>
    <t>A.1.C.3) Contributi da Regione ed altri soggetti pubblici per ricerca</t>
  </si>
  <si>
    <t>A.1.C.4) Contributi da privati per ricerca</t>
  </si>
  <si>
    <t>A.1.D) Contributi c/esercizio da privati</t>
  </si>
  <si>
    <t>A.2) Rettifica contributi c/esercizio per destinazione ad investimenti</t>
  </si>
  <si>
    <t>A.2.A) Rettifica contributi in c/esercizio per destinazione ad investimenti - da Regione o Prov. Aut. per quota F.S. regionale</t>
  </si>
  <si>
    <t>A.2.B) Rettifica contributi in c/esercizio per destinazione ad investimenti - altri contributi</t>
  </si>
  <si>
    <t>A.3) Utilizzo fondi per quote inutilizzate contributi vincolati di esercizi precedenti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</si>
  <si>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</si>
  <si>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</si>
  <si>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</si>
  <si>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Rimborso per prestazioni fatturate in regime di ricovero - Az. sanitarie pubb. della Regione</t>
  </si>
  <si>
    <t>Rimborso per prestazioni ambulatoriali e diagnostiche fatturate  - Az. sanitarie pubb. della Regione</t>
  </si>
  <si>
    <t>Prestazioni di pronto soccorso non seguite da ricovero - Az. sanitarie pubb. della Regione</t>
  </si>
  <si>
    <t>Prestazioni di psichiatria residenziale e semiresidenziale - Az. sanitarie pubb. della Regione</t>
  </si>
  <si>
    <t>Prestazioni di File F  - Az. sanitarie pubb. della Regione</t>
  </si>
  <si>
    <t>Prestazioni servizi MMG, PLS, Contin. Assistenziale  - Az. sanitarie pubb. della Regione</t>
  </si>
  <si>
    <t>Prestazioni servizi farmaceutica convenzionata  - Az. sanitarie pubb. della Regione</t>
  </si>
  <si>
    <t>Prestazioni termali  - Az. sanitarie pubb. della Regione</t>
  </si>
  <si>
    <t>Prestazioni trasporto ambulanze ed elisoccorso - Az. sanitarie pubb. della Regione</t>
  </si>
  <si>
    <t>Prestazioni assistenza integrativa - Az. sanitarie pubb. della Regione</t>
  </si>
  <si>
    <t>Prestazioni assistenza protesica - Az. sanitarie pubb. della Regione</t>
  </si>
  <si>
    <t>Prestazioni assistenza riabilitativa extraospedaliera - Az. sanitarie pubb. della Regione</t>
  </si>
  <si>
    <t>Ricavi per cessione di emocomponenti e cellule staminali - Az. sanitarie pubb. della Regione</t>
  </si>
  <si>
    <t>Prestazioni assistenza domiciliare integrata (ADI) - Az. sanitarie pubb. della Regione</t>
  </si>
  <si>
    <t>Consulenze sanitarie  - Az. sanitarie pubb. della Regione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</si>
  <si>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</si>
  <si>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</si>
  <si>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Prestazioni di pronto soccorso non seguite da ricovero -  a soggetti pubblici Extraregione</t>
  </si>
  <si>
    <t>Prestazioni di psichiatria ad extraregione non soggetta a compensazione (resid. e semiresid.)</t>
  </si>
  <si>
    <t>Prestazioni di File F - a soggetti pubblici Extraregione</t>
  </si>
  <si>
    <t>8</t>
  </si>
  <si>
    <t>Consulenze sanitarie a compensazione Extraregione</t>
  </si>
  <si>
    <t>Rimborso per prestazioni fatturate in regime di ricovero extraregione</t>
  </si>
  <si>
    <t>Rimborso per prestazioni ambulatoriali e diagnostiche fatturate extraregione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</si>
  <si>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</si>
  <si>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</si>
  <si>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A.4.B.2) Prestazioni ambulatoriali da priv. Extraregione in compensazione (mobilità attiva)</t>
  </si>
  <si>
    <t>A.4.B.3)  Prestazioni di pronto soccorso non seguite da ricovero da priv. Extraregione in compensazione  (mobilità attiva)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</si>
  <si>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</si>
  <si>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</si>
  <si>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A.4.C) Ricavi per prestazioni sanitarie e sociosanitarie a rilevanza sanitaria erogate a privati</t>
  </si>
  <si>
    <t>Prestazioni amministrative e gestionali a privati</t>
  </si>
  <si>
    <t>A.4.D) Ricavi per prestazioni sanitarie erogate in regime di intramoenia</t>
  </si>
  <si>
    <t>A.4.D.1) Ricavi per prestazioni sanitarie intramoenia - Area ospedaliera</t>
  </si>
  <si>
    <t>A.4.D.2) Ricavi per prestazioni sanitarie intramoenia - Area specialistica</t>
  </si>
  <si>
    <t>A.4.D.3) Ricavi per prestazioni sanitarie intramoenia - Area sanità pubblica</t>
  </si>
  <si>
    <t>A.4.D.4) Ricavi per prestazioni sanitarie intramoenia - Consulenze (ex art. 55 c.1 lett. c), d) ed ex art. 57-58)</t>
  </si>
  <si>
    <t>A.4.D.5) Ricavi per prestazioni sanitarie intramoenia - Consulenze (ex art. 55 c.1 lett. c), d) ed ex art. 57-58) (Aziende sanitarie pubbliche della Regione)</t>
  </si>
  <si>
    <t>A.4.D.6) Ricavi per prestazioni sanitarie intramoenia - Altro</t>
  </si>
  <si>
    <t>A.4.D.7) Ricavi per prestazioni sanitarie intramoenia - Altro (Aziende sanitarie pubbliche della Regione)</t>
  </si>
  <si>
    <t>Prestazioni amministrative e gestionali - Az. sanitarie pubb. della Regione</t>
  </si>
  <si>
    <t>Consulenze non sanitarie  - Az. sanitarie pubb. della Regione</t>
  </si>
  <si>
    <t>Altri concorsi, recuperi e rimborsi  - Az. sanitarie pubb. della Regione</t>
  </si>
  <si>
    <t>A.6) Compartecipazione alla spesa per prestazioni sanitarie (Ticket)</t>
  </si>
  <si>
    <t>A.6.A) Compartecipazione alla spesa per prestazioni sanitarie - Ticket sulle prestazioni di specialistica ambulatoriale</t>
  </si>
  <si>
    <t>A.6.B) Compartecipazione alla spesa per prestazioni sanitarie - Ticket sul pronto soccorso</t>
  </si>
  <si>
    <t>A.6.C) Compartecipazione alla spesa per prestazioni sanitarie (Ticket) - Altro</t>
  </si>
  <si>
    <t>A.7) Quota contributi c/capitale imputata all'esercizio</t>
  </si>
  <si>
    <t>A.7.B) Quota imputata all'esercizio dei finanziamenti per investimenti da Regione</t>
  </si>
  <si>
    <t>A.7.C) Quota imputata all'esercizio dei finanziamenti per beni di prima dotazione</t>
  </si>
  <si>
    <t>A.8) Incrementi delle immobilizzazioni per lavori interni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</si>
  <si>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</si>
  <si>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</si>
  <si>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</si>
  <si>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</si>
  <si>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</si>
  <si>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</si>
  <si>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</si>
  <si>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B.1.A.1.4.2) Emoderivati di produzione regionale da pubblico (Aziende sanitarie pubbliche extra Regione) - Mobilità extraregionale</t>
  </si>
  <si>
    <t>B.1.A.2) Sangue ed emocomponenti</t>
  </si>
  <si>
    <t>Sangue e emocomp. da pubblico (Aziende sanitarie pubbliche della Regione) – Mobilità intraregionale</t>
  </si>
  <si>
    <t>Sangue e emocomp. da pubblico (Aziende sanitarie pubbliche extra Regione) – Mobilità extraregionale</t>
  </si>
  <si>
    <t>B.1.A.3.1) Dispositivi medici</t>
  </si>
  <si>
    <t>B.1.A.3.2) Dispositivi medici impiantabili attivi</t>
  </si>
  <si>
    <t>B.1.A.3.3) Dispositivi medico diagnostici in vitro (IVD)</t>
  </si>
  <si>
    <t>B.1.A.4) Prodotti dietetici</t>
  </si>
  <si>
    <t>B.1.A.5) Materiali per la profilassi (vaccini)</t>
  </si>
  <si>
    <t>B.1.A.6) Prodotti chimici</t>
  </si>
  <si>
    <t>B.1.A.7) Materiali e prodotti per uso veterinario</t>
  </si>
  <si>
    <t>B.1.A.8) Altri beni e prodotti sanitari</t>
  </si>
  <si>
    <t>B.1.A.9) Beni e prodotti sanitari da Aziende sanitarie pubbliche della Regione</t>
  </si>
  <si>
    <t>Medicinali con AIC, ad eccezione di vaccini ed emoderivati di produzione regionale  - Az. sanitarie pubb. della Regione</t>
  </si>
  <si>
    <t>Medicinali senza AIC - Az. sanitarie pubb. della Regione</t>
  </si>
  <si>
    <t>Emoderivati di produzione regionale - Az. sanitarie pubb. della Regione</t>
  </si>
  <si>
    <t>BA0302</t>
  </si>
  <si>
    <t>B.1.A.9.2)  Sangue ed emocomponenti</t>
  </si>
  <si>
    <t>Sangue ed emocomponenti - Az. sanitarie pubb. della Regione</t>
  </si>
  <si>
    <t>Dispositivi medici  - Az. sanitarie pubb. della Regione</t>
  </si>
  <si>
    <t>Dispositivi medici impiantabili attivi - Az. sanitarie pubb. della Regione</t>
  </si>
  <si>
    <t>Dispositivi medico diagnostici in vitro (IVD) - Az. sanitarie pubb. della Regione</t>
  </si>
  <si>
    <t>Prodotti dietetici - Az. sanitarie pubb. della Regione</t>
  </si>
  <si>
    <t>Materiali per la profilassi (vaccini) - Az. sanitarie pubb. della Regione</t>
  </si>
  <si>
    <t>Prodotti chimici - Az. sanitarie pubb. della Regione</t>
  </si>
  <si>
    <t>Materiali e prodotti per uso veterinario - Az. sanitarie pubb. della Regione</t>
  </si>
  <si>
    <t>Altri beni e prodotti sanitari  - Az. sanitarie pubb. della Regione</t>
  </si>
  <si>
    <t>B.1.B) Acquisti di beni non sanitari</t>
  </si>
  <si>
    <t>B.1.B.1) Prodotti alimentari</t>
  </si>
  <si>
    <t>B.1.B.2) Materiali di guardaroba, di pulizia e di convivenza in genere</t>
  </si>
  <si>
    <t>B.1.B.3) Combustibili, carburanti e lubrificanti</t>
  </si>
  <si>
    <t>B.1.B.4) Supporti informatici e cancelleria</t>
  </si>
  <si>
    <t>B.1.B.5) Materiale per la manutenzione</t>
  </si>
  <si>
    <t>B.1.B.6) Altri beni e prodotti non sanitari</t>
  </si>
  <si>
    <t>B.1.B.7) Beni e prodotti non sanitari da Aziende sanitarie pubbliche della Regione</t>
  </si>
  <si>
    <t>Prodotti alimentari - Az. sanitarie pubb. della Regione</t>
  </si>
  <si>
    <t>Materiali di guardaroba, di pulizia e di convivenza in genere - Az. sanitarie pubb. della Regione</t>
  </si>
  <si>
    <t>Combustibili, carburanti e lubrificanti - Az. sanitarie pubb. della Regione</t>
  </si>
  <si>
    <t>Supporti informatici e cancelleria - Az. sanitarie pubb. della Regione</t>
  </si>
  <si>
    <t>Materiale per la manutenzione - Az. sanitarie pubb. della Regione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</si>
  <si>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</si>
  <si>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</si>
  <si>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</si>
  <si>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</si>
  <si>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Quota capitaria nazionale MMG</t>
  </si>
  <si>
    <t>Compensi da fondo ponderazione MMG</t>
  </si>
  <si>
    <t>Compensi da fondo qualità dell'assistenza MMG</t>
  </si>
  <si>
    <t>Compensi da fondo quota capitaria regionale MMG</t>
  </si>
  <si>
    <t>Compensi extra derivanti da accordi nazionali MMG</t>
  </si>
  <si>
    <t>Compensi da accordi regionali MMG</t>
  </si>
  <si>
    <t>Compensi da accordi aziendali MMG</t>
  </si>
  <si>
    <t>Premi assicurativi malattia MMG</t>
  </si>
  <si>
    <t>Formazione MMG</t>
  </si>
  <si>
    <t>Altre competenze MMG</t>
  </si>
  <si>
    <t>Oneri sociali MMG</t>
  </si>
  <si>
    <t>Quota capitaria nazionale PLS</t>
  </si>
  <si>
    <t>Compensi da fondo ponderazione PLS</t>
  </si>
  <si>
    <t>Compensi da fondo qualità dell'assistenza PLS</t>
  </si>
  <si>
    <t>Compensi da fondo quota capitaria regionale PLS</t>
  </si>
  <si>
    <t>Compensi extra derivanti da accordi nazionali PLS</t>
  </si>
  <si>
    <t>Compensi da accordi regionali PLS</t>
  </si>
  <si>
    <t>Compensi da accordi aziendali PLS</t>
  </si>
  <si>
    <t>Premi assicurativi malattia PLS</t>
  </si>
  <si>
    <t>Formazione PLS</t>
  </si>
  <si>
    <t>Altre competenze PLS</t>
  </si>
  <si>
    <t>Oneri sociali PLS</t>
  </si>
  <si>
    <t xml:space="preserve">Altri compensi Conv. per emergenza sanitaria territoriale </t>
  </si>
  <si>
    <t>Compensi fissi altro personale sanitario convenzionato</t>
  </si>
  <si>
    <t>Compensi da fondo ponderazione altro personale sanitario convenzionato</t>
  </si>
  <si>
    <t>Compensi extra derivanti da accordi nazionali altro personale sanitario convenzionato</t>
  </si>
  <si>
    <t>Compensi da accordi regionali altro personale sanitario convenzionato</t>
  </si>
  <si>
    <t>Compensi da accordi aziendali altro personale sanitario convenzionato</t>
  </si>
  <si>
    <t>Altre competenze altro personale sanitario convenzionato</t>
  </si>
  <si>
    <t>Oneri sociali altro personale sanitario convenzionato</t>
  </si>
  <si>
    <t>Servizi sanitari per medicina di base da pubblico (Aziende sanitarie pubbliche della Regione) - Mobilità intraregionale</t>
  </si>
  <si>
    <t>Servizi sanitari per medicina di base da pubblico (Aziende sanitarie pubbliche Extraregione) - Mobilità extraregionale</t>
  </si>
  <si>
    <t>B.2.A.2) Acquisti servizi sanitari per farmaceutica</t>
  </si>
  <si>
    <t>Servizi sanitari per farmaceutica da pubblico (Aziende sanitarie pubbliche della Regione)- Mobilità intraregionale</t>
  </si>
  <si>
    <t>Servizi sanitari per farmaceuticada pubblico (Extraregione)</t>
  </si>
  <si>
    <t>B.2.A.3) Acquisti servizi sanitari per assistenza specialistica ambulatoriale</t>
  </si>
  <si>
    <t>B.2.A.3.2) Prestazioni di pronto soccorso non seguite da ricovero - da pubblico (Aziende sanitarie pubbliche della Regione)</t>
  </si>
  <si>
    <t>B.2.A.3.3) - da pubblico (altri soggetti pubbl. della Regione), ad eccezione delle somministrazionidi farmaci e dispositivi ad alto costoin trattamento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</si>
  <si>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</si>
  <si>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</si>
  <si>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B.2.A.3.6) - Prestazioni di pronto soccorso non seguite da ricovero - da pubblico (Extraregione)</t>
  </si>
  <si>
    <t>Compensi fissi medici SUMAI</t>
  </si>
  <si>
    <t>Compendi da fondo ponderazione medici SUMAI</t>
  </si>
  <si>
    <t>Compensi extra derivanti da accordi nazionali medici SUMAI</t>
  </si>
  <si>
    <t>Compensi da accordi regionali medici SUMAI</t>
  </si>
  <si>
    <t>Compensi da accordi aziendali medici SUMAI</t>
  </si>
  <si>
    <t>Altre competenze medici SUMAI</t>
  </si>
  <si>
    <t>Oneri sociali medici SUMAI</t>
  </si>
  <si>
    <t>B.2.A.3.8.B) Servizi sanitari per prestazioni di pronto soccorso non seguite da ricovero da IRCCS privati e Policlinici privati</t>
  </si>
  <si>
    <t>Servizi sanitari per prestazioni di pronto soccorso non seguite da ricovero - da IRCCS privati e Policlinici privati</t>
  </si>
  <si>
    <t>B.2.A.3.8.D) Servizi sanitari per prestazioni di pronto soccorso non seguite da ricovero da Ospedali Classificati privati</t>
  </si>
  <si>
    <t>B.2.A.3.8.F) Servizi sanitari per prestazioni di pronto soccorso non seguite da ricovero da Case di Cura private</t>
  </si>
  <si>
    <t>B.2.A.3.8.H) Servizi sanitari per prestazioni di pronto soccorso non seguite da ricovero da altri privati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</si>
  <si>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</si>
  <si>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</si>
  <si>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B.2.A.4) Acquisti servizi sanitari per assistenza riabilitativa</t>
  </si>
  <si>
    <t>Servizi sanitari per assistenza riabilitativa da pubblico (Aziende sanitarie pubbliche della Regione)</t>
  </si>
  <si>
    <t>Servizi sanitari per assistenza riabilitativa da pubblico (altri soggetti pubbl. della Regione)</t>
  </si>
  <si>
    <t>Servizi sanitari per assistenza riabilitativada pubblico (Extraregione) non soggetti a compensazione</t>
  </si>
  <si>
    <t>Assistenza riabilitativa ex art.26 L.833/78 - in regime di ricovero da privato (intraregionale)</t>
  </si>
  <si>
    <t>Assistenza riabilitativa ex art.26 L.833/78 - in regime ambulatoriale da privato (intraregionale)</t>
  </si>
  <si>
    <t>Assistenza riabilitativa ex art.26 L.833/78 - in regime di ricovero da privato (extraregionale)</t>
  </si>
  <si>
    <t>Assistenza riabilitativa ex art.26 L.833/78 - in regime ambulatoriale da privato (extraregionale)</t>
  </si>
  <si>
    <t>B.2.A.5) Acquisti servizi sanitari per assistenza integrativa</t>
  </si>
  <si>
    <t>Servizi sanitari per assistenza integrativa da pubblico (Aziende sanitarie pubbliche della Regione)</t>
  </si>
  <si>
    <t>Servizi sanitari per assistenza integrativa da pubblico (altri soggetti pubbl. della Regione)</t>
  </si>
  <si>
    <t>Servizi sanitari per assistenza integrativa da pubblico (Extraregione)</t>
  </si>
  <si>
    <t>B.2.A.6) Acquisti servizi sanitari per assistenza protesica</t>
  </si>
  <si>
    <t>Servizi sanitari per assistenza protesica da pubblico (Aziende sanitarie pubbliche della Regione)</t>
  </si>
  <si>
    <t>Servizi sanitari per assistenza protesica da pubblico (altri soggetti pubbl. della Regione)</t>
  </si>
  <si>
    <t>Servizi sanitari per assistenza protesica da pubblico (Extraregione)</t>
  </si>
  <si>
    <t>B.2.A.7) Acquisti servizi sanitari per assistenza ospedaliera</t>
  </si>
  <si>
    <t>Acquisto di prestazioni in regime di ricovero (DRG) da pubblico (altri soggetti pubbl. della Regione)</t>
  </si>
  <si>
    <t>Servizi sanitari per ass. osped. da privato per cittadini non residenti - Extraregione (mobilità attiva in compensazione)</t>
  </si>
  <si>
    <t>B.2.A.8) Acquisto prestazioni di psichiatria residenziale e semiresidenziale</t>
  </si>
  <si>
    <t>Prestazioni di psichiatria resid. e semiresid. da pubblico (Aziende sanitarie pubbliche della Regione)</t>
  </si>
  <si>
    <t>Prestazioni di psichiatria resid. e semiresid. da pubblico (altri soggetti pubbl. della Regione)</t>
  </si>
  <si>
    <t>Prestazioni di psichiatria resid. e semiresid. da pubblico (Extraregione) - non soggette a compensazione</t>
  </si>
  <si>
    <t>Prestazioni di psichiatria resid. e semiresid. da privato (intraregionale)</t>
  </si>
  <si>
    <t>Prestazioni di psichiatria resid. e semiresid.  da privato (extraregionale)</t>
  </si>
  <si>
    <t>B.2.A.9) Acquisto prestazioni di distribuzione farmaci File F</t>
  </si>
  <si>
    <t>Prestazioni di distribuzione farmaci File F da pubblico (altri soggetti pubbl. della Regione)</t>
  </si>
  <si>
    <t>Prestazioni di distribuzione farmaci File F da pubblico (Extraregione)</t>
  </si>
  <si>
    <t>Prestazioni di distribuzione farmaci File F da privato (extraregionale)</t>
  </si>
  <si>
    <t>Prestazioni di distribuzione farmaci File F da privato per cittadini non residenti - Extraregione (mobilità attiva in compensazione)</t>
  </si>
  <si>
    <t>B.2.A.10) Acquisto prestazioni termali in convenzione</t>
  </si>
  <si>
    <t>Prestazioni termali in convenzione da pubblico (Aziende sanitarie pubbliche della Regione) - Mobilità intraregionale</t>
  </si>
  <si>
    <t>Prestazioni termali in convenzione da pubblico (altri soggetti pubbl. della Regione)</t>
  </si>
  <si>
    <t>Prestazioni termali in convenzione da pubblico (Extraregione)</t>
  </si>
  <si>
    <t>Prestazioni termali in convenzione da privato</t>
  </si>
  <si>
    <t>Prestazioni termali in convenzione da privato per cittadini non residenti - Extraregione (mobilità attiva in compensazione)</t>
  </si>
  <si>
    <t>B.2.A.11) Acquisto prestazioni di trasporto sanitario</t>
  </si>
  <si>
    <t>Prestazioni di trasporto sanitario da pubblico (Aziende sanitarie pubbliche della Regione) - Mobilità intraregionale</t>
  </si>
  <si>
    <t>Prestazioni di trasporto sanitario da pubblico (altri soggetti pubbl. della Regione)</t>
  </si>
  <si>
    <t>Prestazioni di trasporto sanitario da pubblico (Extraregione)</t>
  </si>
  <si>
    <t>B.2.A.12) Acquisto prestazioni Socio-Sanitarie a rilevanza sanitaria</t>
  </si>
  <si>
    <t>B.2.A.12.1.A) Assistenza domiciliare integrata</t>
  </si>
  <si>
    <t>Altre prestazioni socio-sanitarie a rilevanza sanitaria</t>
  </si>
  <si>
    <t>RSA esterne (altri soggetti pubblici della Regione)</t>
  </si>
  <si>
    <t>Rimborso per ass. san. in strutture resid. e semi resid. per anziani (altri soggetti pubblici della Regione)</t>
  </si>
  <si>
    <t>Abbattimento rette anziani non autosufficienti (altri soggetti pubblici della Regione)</t>
  </si>
  <si>
    <t>Acquisto di Altre prestazioni sociosanitarie a rilevanza sanitaria erogate a soggetti pubblici Extraregione  - da pubblico  (Extraregione)</t>
  </si>
  <si>
    <t>Acquisto di Altre prestazioni sociosanitarie a rilevanza sanitaria erogate a soggetti pubblici (Extraregione) non soggette a compensazione</t>
  </si>
  <si>
    <t>Assist. riabilitativa residenziale e integrativa territoriale per tossicodipendenti da privato (intraregionale)</t>
  </si>
  <si>
    <t>Assist. riabilitativa residenziale e integrativa territoriale per tossicodipendenti da privato (extraregionale)</t>
  </si>
  <si>
    <t>B.2.A.13) Compartecipazione al personale per att. libero-prof. (intramoenia)</t>
  </si>
  <si>
    <t>B.2.A.13.1) Compartecipazione al personale per att. libero professionale intramoenia - Area ospedaliera</t>
  </si>
  <si>
    <t>B.2.A.13.2) Compartecipazione al personale per att. libero professionale intramoenia- Area specialistica</t>
  </si>
  <si>
    <t>B.2.A.13.3) Compartecipazione al personale per att. libero professionale intramoenia - Area sanità pubblica</t>
  </si>
  <si>
    <t>B.2.A.13.4) Compartecipazione al personale per att. libero professionale intramoenia - Consulenze (ex art. 55 c.1 lett. c), d) ed ex Art. 57-58)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</si>
  <si>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</si>
  <si>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</si>
  <si>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Consulenze a favore di terzi, rimborsate Dirigenza medica e veterinaria (Aziende sanitarie pubbliche della Regione)</t>
  </si>
  <si>
    <t>Consulenze a favore di terzi, rimborsate Dirigenza sanitaria e delle professioni sanitarie (Aziende sanitarie pubbliche della Regione)</t>
  </si>
  <si>
    <t>Consulenze a favore di terzi, rimborsate Dirigenza medica universitaria (Aziende sanitarie pubbliche della Regione)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</si>
  <si>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</si>
  <si>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</si>
  <si>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Consulenze a favore di terzi, rimborsate Dirigenza ruolo tecnico</t>
  </si>
  <si>
    <t>Consulenze a favore di terzi, rimborsate Dirigenza ruolo amministrativo</t>
  </si>
  <si>
    <t>Consulenze a favore di terzi, rimborsate Comparto ruolo amministrativo</t>
  </si>
  <si>
    <t>B.2.A.13.7) Compartecipazione al personale per att. libero professionale intramoenia - Altro (Aziende sanitarie pubbliche della Regione)</t>
  </si>
  <si>
    <t>Consulenze a favore di terzi, rimborsate Dirigenza ruolo professionale  (Aziende sanitarie pubbliche della Regione)</t>
  </si>
  <si>
    <t>Consulenze a favore di terzi, rimborsate Dirigenza ruolo tecnico  (Aziende sanitarie pubbliche della Regione)</t>
  </si>
  <si>
    <t>Consulenze a favore di terzi, rimborsate Dirigenza ruolo amministrativo  (Aziende sanitarie pubbliche della Regione)</t>
  </si>
  <si>
    <t>Consulenze a favore di terzi, rimborsate Comparto ruolo sanitario (Aziende sanitarie pubbliche della Regione)</t>
  </si>
  <si>
    <t>Consulenze a favore di terzi, rimborsate Comparto ruolo professionale (Aziende sanitarie pubbliche della Regione)</t>
  </si>
  <si>
    <t>Consulenze a favore di terzi, rimborsate Comparto ruolo tecnico (Aziende sanitarie pubbliche della Regione)</t>
  </si>
  <si>
    <t>Consulenze a favore di terzi, rimborsate Comparto ruolo amministrativo (Aziende sanitarie pubbliche della Regione)</t>
  </si>
  <si>
    <t>B.2.A.14) Rimborsi, assegni e contributi sanitari</t>
  </si>
  <si>
    <t>B.2.A.14.1) Contributi ad associazioni di volontariato</t>
  </si>
  <si>
    <t>B.2.A.14.2) Rimborsi per cure all'estero</t>
  </si>
  <si>
    <t>B.2.A.14.3) Contributi a società partecipate e/o enti dipendenti della Regione</t>
  </si>
  <si>
    <t>B.2.A.14.4) Contributo Legge 210/92</t>
  </si>
  <si>
    <t>B.2.A.14.5) Altri rimborsi, assegni e contributi</t>
  </si>
  <si>
    <t>B.2.A.14.6) Rimborsi, assegni e contributi v/Aziende sanitarie pubbliche della Regione</t>
  </si>
  <si>
    <t>B.2.A.15) Consulenze, Collaborazioni, Interinale e altre prestazioni di lavoro sanitarie e sociosanitarie</t>
  </si>
  <si>
    <t>B.2.A.15.1) Consulenze sanitarie e sociosan. da Aziende sanitarie pubbliche della Regione</t>
  </si>
  <si>
    <t>B.2.A.15.2) Consulenze sanitarie e sociosanit. da terzi - Altri soggetti pubblici</t>
  </si>
  <si>
    <t>B.2.A.15.3) Consulenze, Collaborazioni, Interinale e altre prestazioni di lavoro sanitarie e socios. da privato</t>
  </si>
  <si>
    <t>B.2.A.15.3.C) Collaborazioni coordinate e continuative sanitarie e socios. da privato</t>
  </si>
  <si>
    <t>B.2.A.15.3.D) Indennità a personale universitario - area sanitaria</t>
  </si>
  <si>
    <t xml:space="preserve">Indennità personale sanitario universitario </t>
  </si>
  <si>
    <t xml:space="preserve">Retribuzione di risultato personale sanitario universitario </t>
  </si>
  <si>
    <t xml:space="preserve">Condizioni di lavoro personale personale sanitario universitario </t>
  </si>
  <si>
    <t>Altri compensi personale sanitario universitario</t>
  </si>
  <si>
    <t xml:space="preserve">Oneri sociali personale sanitario universitario </t>
  </si>
  <si>
    <t>B.2.A.15.3.E) Lavoro interinale - area sanitaria</t>
  </si>
  <si>
    <t>Lavoro interinale - area sanitaria</t>
  </si>
  <si>
    <t>B.2.A.15.3.F) Altre collaborazioni e prestazioni di lavoro - area sanitaria</t>
  </si>
  <si>
    <t>Oneri sociali su altre collaborazioni e prestazioni di lavoro - area sanitaria</t>
  </si>
  <si>
    <t>B.2.A.16.1) Altri servizi sanitari e sociosanitari a rilevanza sanitaria da pubblico - Aziende sanitarie pubbliche della Regione</t>
  </si>
  <si>
    <t>B.2.A.16.2) Altri servizi sanitari e sociosanitari a rilevanza sanitaria da pubblico - Altri soggetti pubblici della Regione</t>
  </si>
  <si>
    <t>B.2.A.16.4) Altri servizi sanitari da privato</t>
  </si>
  <si>
    <t>B.2.A.16.5) Costi per servizi sanitari - Mobilità internazionale passiva</t>
  </si>
  <si>
    <t>B.2.A.16.7)   Costi per prestazioni sanitarie erogate da aziende sanitarie estere (fatturate direttamente)</t>
  </si>
  <si>
    <t>B.2.B.1) Servizi non sanitari</t>
  </si>
  <si>
    <t>B.2.B.1.1) Lavanderia</t>
  </si>
  <si>
    <t>B.2.B.1.2) Pulizia</t>
  </si>
  <si>
    <t>B.2.B.1.3) Mensa</t>
  </si>
  <si>
    <t>B.2.B.1.4) Riscaldamento</t>
  </si>
  <si>
    <t>B.2.B.1.5) Servizi di assistenza informatica</t>
  </si>
  <si>
    <t>B.2.B.1.6) Servizi trasporti (non sanitari)</t>
  </si>
  <si>
    <t>B.2.B.1.7) Smaltimento rifiuti</t>
  </si>
  <si>
    <t>B.2.B.1.8) Utenze telefoniche</t>
  </si>
  <si>
    <t>B.2.B.1.9) Utenze elettricità</t>
  </si>
  <si>
    <t>B.2.B.1.10) Altre utenze</t>
  </si>
  <si>
    <t>B.2.B.1.11) Premi di assicurazione</t>
  </si>
  <si>
    <t>B.2.B.1.11.A) Premi di assicurazione - R.C. Professionale</t>
  </si>
  <si>
    <t>Premi di assicurazione - R.C. Professionale</t>
  </si>
  <si>
    <t>B.2.B.1.11.B) Premi di assicurazione - Altri premi assicurativi</t>
  </si>
  <si>
    <t>B.2.B.2) Consulenze, Collaborazioni, Interinale e altre prestazioni di lavoro non sanitarie</t>
  </si>
  <si>
    <t>B.2.B.2.3.C) Indennità a personale universitario - area non sanitaria</t>
  </si>
  <si>
    <t>Indennità a personale universitario - area non sanitaria</t>
  </si>
  <si>
    <t>B.2.B.2.3.D) Lavoro interinale - area non sanitaria</t>
  </si>
  <si>
    <t>Lavoro interinale - area non sanitaria</t>
  </si>
  <si>
    <t>B.2.B.2.3.E) Altre collaborazioni e prestazioni di lavoro - area non sanitaria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</si>
  <si>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</si>
  <si>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</si>
  <si>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Altre Consulenze non sanitarie da privato - in attuazione dell'art.79, comma 1 sexies lettera c), del D.L. 112/2008, convertito con legge 133/2008 e della legge 23 dicembre 2009 n. 191.</t>
  </si>
  <si>
    <t>B.3) Manutenzione e riparazione (ordinaria esternalizzata)</t>
  </si>
  <si>
    <t>B.3.A) Manutenzione e riparazione ai fabbricati e loro pertinenze</t>
  </si>
  <si>
    <t>B.3.B) Manutenzione e riparazione agli impianti e macchinari</t>
  </si>
  <si>
    <t>B.3.C) Manutenzione e riparazione alle attrezzature sanitarie e scientifiche</t>
  </si>
  <si>
    <t>B.3.D) Manutenzione e riparazione ai mobili e arredi</t>
  </si>
  <si>
    <t>B.3.E) Manutenzione e riparazione agli automezzi</t>
  </si>
  <si>
    <t>B.3.F) Altre manutenzioni e riparazioni</t>
  </si>
  <si>
    <t>B.3.G) Manutenzioni e riparazioni da Aziende sanitarie pubbliche della Regione</t>
  </si>
  <si>
    <t>B.4) Godimento di beni di terzi</t>
  </si>
  <si>
    <t>B.4.A) Fitti passivi</t>
  </si>
  <si>
    <t>B.4.B) Canoni di noleggio</t>
  </si>
  <si>
    <t>B.4.C) Canoni di leasing</t>
  </si>
  <si>
    <t>Canoni di leasing operativo  - area sanitaria</t>
  </si>
  <si>
    <t>Canoni di leasing finanziario  - area sanitaria</t>
  </si>
  <si>
    <t>Canoni di leasing operativo - area non sanitaria</t>
  </si>
  <si>
    <t>Canoni di leasing finanziario - area non sanitaria</t>
  </si>
  <si>
    <t>B.5) Personale del ruolo sanitario</t>
  </si>
  <si>
    <t>Voci di costo a carattere stipendiale - personale dirigente medico tempo indeterm.</t>
  </si>
  <si>
    <t>Retribuzione di posizione - personale dirigente medico tempo indeterm.</t>
  </si>
  <si>
    <t>Retribuzione di risultato - personale dirigente medico tempo indeterm.</t>
  </si>
  <si>
    <t>Condizioni di lavoro - personale dirigente medico tempo indeterm.</t>
  </si>
  <si>
    <t>Accantonamento al fondo per TFR dipendenti - personale dirigente medico tempo indeterm.</t>
  </si>
  <si>
    <t>Accantonamento ai fondi integrativi pensione - personale dirigente medico tempo indeterm.</t>
  </si>
  <si>
    <t>Altre competenze personale dirigente medico tempo indeterm.</t>
  </si>
  <si>
    <t>Oneri sociali su retribuzione - personale dirigente medico tempo indeterm.</t>
  </si>
  <si>
    <t>B.5.A.1.2) Costo del personale dirigente medico - tempo determ.</t>
  </si>
  <si>
    <t>Voci di costo a carattere stipendiale - personale dirigente medico tempo determ.</t>
  </si>
  <si>
    <t>Retribuzione di posizione - personale dirigente medico tempo determ.</t>
  </si>
  <si>
    <t>Retribuzione di risultato - personale dirigente medico tempo determ.</t>
  </si>
  <si>
    <t>Condizioni di lavoro - personale dirigente medico tempo determ.</t>
  </si>
  <si>
    <t>Accantonamento al fondo per TFR dipendenti - dirigente medico tempo determ.</t>
  </si>
  <si>
    <t>Accantonamento ai fondi integrativi pensione - dirigente medico tempo determ.</t>
  </si>
  <si>
    <t>Altre competenze personale dirigente medico tempo determ.</t>
  </si>
  <si>
    <t>Oneri sociali su retribuzione - personale dirigente medico tempo determ.</t>
  </si>
  <si>
    <t>B.5.A.2.1) Costo del personale dirigente non medico - tempo indeterm.</t>
  </si>
  <si>
    <t>Voci di costo a carattere stipendiale - personale dirigente non medico tempo indeterm.</t>
  </si>
  <si>
    <t>Retribuzione di posizione - personale dirigente non medico tempo indeterm.</t>
  </si>
  <si>
    <t>Retribuzione di risultato - personale dirigente non medico tempo indeterm.</t>
  </si>
  <si>
    <t>Condizioni di lavoro - personale dirigente non medico tempo indeterm.</t>
  </si>
  <si>
    <t>Accantonamento al fondo per TFR dipendenti - personale dirigente non medico tempo indeterm.</t>
  </si>
  <si>
    <t>Accantonamento ai fondi integrativi pensione - personale dirigente non medico tempo indeterm.</t>
  </si>
  <si>
    <t>Altre competenze personale dirigente non medico - personale dirigente non medico tempo indeterm.</t>
  </si>
  <si>
    <t>Oneri sociali su retribuzione - personale dirigente non medico tempo indeterm.</t>
  </si>
  <si>
    <t>B.5.A.2.2) Costo del personale dirigente non medico - tempo determ.</t>
  </si>
  <si>
    <t>Voci di costo a carattere stipendiale - personale dirigente non medico tempo determ.</t>
  </si>
  <si>
    <t>Retribuzione di posizione - personale dirigente non medico tempo determ.</t>
  </si>
  <si>
    <t>Retribuzione di risultato - personale dirigente non medico tempo determ.</t>
  </si>
  <si>
    <t>Condizioni di lavoro - personale dirigente non medico tempo determ.</t>
  </si>
  <si>
    <t>Accantonamento al fondo per TFR dipendenti - personale dirigente non medico tempo determ.</t>
  </si>
  <si>
    <t>Accantonamento ai fondi integrativi pensione - personale dirigente non medico tempo determ.</t>
  </si>
  <si>
    <t>Altre competenze personale dirigente non medico - personale dirigente non medico tempo determ.</t>
  </si>
  <si>
    <t>Oneri sociali su retribuzione - personale dirigente non medico tempo determ.</t>
  </si>
  <si>
    <t>Costo del personale dirigente non medico - altro</t>
  </si>
  <si>
    <t>B.5.B.1) Costo del personale comparto ruolo sanitario - tempo indeterm.</t>
  </si>
  <si>
    <t>Voci di costo a carattere stipendiale - personale comparto ruolo sanitario tempo indeterm.</t>
  </si>
  <si>
    <t>Premialità e condizioni di lavoro personale comparto ruolo sanitario tempo indeterm.</t>
  </si>
  <si>
    <t>Straordinario - personale comparto ruolo sanitario tempo indeterm.</t>
  </si>
  <si>
    <t>Condizioni di lavoro - personale comparto ruolo sanitario tempo indeterm.</t>
  </si>
  <si>
    <t>Premialità - personale comparto ruolo sanitario tempo indeterm.</t>
  </si>
  <si>
    <t>Incarichi, progressioni economiche ed indennità professionali comparto ruolo sanitario tempo indeterm.</t>
  </si>
  <si>
    <t>Incarichi - personale comparto ruolo sanitario tempo indeterm.</t>
  </si>
  <si>
    <t>Progressioni economiche - personale comparto ruolo sanitario tempo indeterm.</t>
  </si>
  <si>
    <t>Indennità professionali - personale comparto ruolo sanitario tempo indeterm.</t>
  </si>
  <si>
    <t>Accantonamento al fondo per TFR dipendenti - personale comparto ruolo sanitario tempo indeterm.</t>
  </si>
  <si>
    <t>Accantonamento ai fondi integrativi pensione - personale comparto ruolo sanitario tempo indeterm.</t>
  </si>
  <si>
    <t>Altri oneri per il personale comparto ruolo sanitario tempo indeterm.</t>
  </si>
  <si>
    <t>Oneri sociali su retribuzione - personale comparto ruolo sanitario tempo indeterm.</t>
  </si>
  <si>
    <t>B.5.B.2) Costo del personale comparto ruolo sanitario - tempo determ.</t>
  </si>
  <si>
    <t>B.5.B.2) a) Costo del personale comparto ruolo sanitario - tempo determ.</t>
  </si>
  <si>
    <t>Voci di costo a carattere stipendiale - personale comparto ruolo sanitario tempo determ.</t>
  </si>
  <si>
    <t>Premialità e condizioni di lavoro personale comparto ruolo sanitario tempo determ.</t>
  </si>
  <si>
    <t>Straordinario - personale comparto ruolo sanitario tempo determ.</t>
  </si>
  <si>
    <t>Condizioni di lavoro - personale comparto ruolo sanitario tempo determ.</t>
  </si>
  <si>
    <t>Premialità - personale comparto ruolo sanitario tempo determ.</t>
  </si>
  <si>
    <t>Incarichi, progressioni economiche ed indennità professionali comparto ruolo sanitario tempo determ.</t>
  </si>
  <si>
    <t>Incarichi - personale comparto ruolo sanitario tempo determ.</t>
  </si>
  <si>
    <t>Progressioni economiche - personale comparto ruolo sanitario tempo determ.</t>
  </si>
  <si>
    <t>Indennità professionali - personale comparto ruolo sanitario tempo determ.</t>
  </si>
  <si>
    <t>Accantonamento al fondo per TFR dipendenti - personale comparto ruolo sanitario tempo determ.</t>
  </si>
  <si>
    <t>Accantonamento ai fondi integrativi pensione - personale comparto ruolo sanitario tempo determ.</t>
  </si>
  <si>
    <t>Altri oneri per il personale comparto ruolo sanitario tempo determ.</t>
  </si>
  <si>
    <t>Oneri sociali su retribuzione - personale comparto ruolo sanitario tempo determ.</t>
  </si>
  <si>
    <t>B.5.B.2) b) Costo del personale comparto ruolo ricercatori piramide - tempo determ.</t>
  </si>
  <si>
    <t>Voci di costo a carattere stipendiale - personale comparto ruolo ricercatori piramide tempo determ.</t>
  </si>
  <si>
    <t>Premialità e condizioni di lavoro personale ruolo ricercatori piramide - tempo determ.</t>
  </si>
  <si>
    <t>Straordinario - personale comparto ruolo ricercatori  piramide tempo determ.</t>
  </si>
  <si>
    <t>Condizioni di lavoro - ruolo ricercatori piramide tempo determ.</t>
  </si>
  <si>
    <t>Premialità - ruolo ricercatori piramide tempo determ.</t>
  </si>
  <si>
    <t>Incarichi, progressioni economiche ed indennità professionali comparto ruolo ricercatori piramide tempo determ.</t>
  </si>
  <si>
    <t>Incarichi - personale ruolo ricercatori piramide tempo determ.</t>
  </si>
  <si>
    <t>Progressioni economiche - personale ruolo ricercatori piramide tempo determ.</t>
  </si>
  <si>
    <t>Indennità professionali - personale ruolo ricercatori piramide tempo determ.</t>
  </si>
  <si>
    <t>Accantonamento al fondo per TFR dipendenti - personale comparto ruolo ricercatori piramide  tempo determ.</t>
  </si>
  <si>
    <t>Accantonamento ai fondi integrativi pensione - personale comparto ruolo ricercatori piramide  tempo determ.</t>
  </si>
  <si>
    <t>Altri oneri per il personale comparto ruolo ricercatori piramide  tempo determ.</t>
  </si>
  <si>
    <t>Oneri sociali su retribuzione - personale comparto ruolo ricercatori piramide  tempo determ.</t>
  </si>
  <si>
    <t>B.5.B.2) c) Costo del personale comparto ruolo collaboratori piramide - tempo determ.</t>
  </si>
  <si>
    <t>Voci di costo a carattere stipendiale - personale comparto ruolo collaboratori piramide tempo determ.</t>
  </si>
  <si>
    <t>Premialità e condizioni di lavoro personale ruolo collaboratori piramide - tempo determ.</t>
  </si>
  <si>
    <t>Straordinario - personale comparto ruolo collaboratori  piramide tempo determ.</t>
  </si>
  <si>
    <t>Condizioni di lavoro - ruolo collaboratori piramide tempo determ.</t>
  </si>
  <si>
    <t>Premialità - ruolo collaboratori piramide tempo determ.</t>
  </si>
  <si>
    <t>Incarichi, progressioni economiche ed indennità professionali comparto ruolo collaboratori piramide tempo determ.</t>
  </si>
  <si>
    <t>Incarichi - personale ruolo collaboratori piramide tempo determ.</t>
  </si>
  <si>
    <t>Progressioni economiche - personale ruolo collaboratori piramide tempo determ.</t>
  </si>
  <si>
    <t>Indennità professionali - personale ruolo collaboratori piramide tempo determ.</t>
  </si>
  <si>
    <t>Accantonamento al fondo per TFR dipendenti - personale comparto ruolo collaboratori piramide  tempo determ.</t>
  </si>
  <si>
    <t>Accantonamento ai fondi integrativi pensione - personale comparto ruolo collaboratori piramide  tempo determ.</t>
  </si>
  <si>
    <t>Altri oneri per il personale comparto ruolo collaboratori piramide  tempo determ.</t>
  </si>
  <si>
    <t>Oneri sociali su retribuzione - personale comparto ruolo collaboratori piramide  tempo determ.</t>
  </si>
  <si>
    <t>B.6) Personale del ruolo professionale</t>
  </si>
  <si>
    <t>B.6.A.1) Costo del personale dirigente ruolo professionale - tempo indeterm.</t>
  </si>
  <si>
    <t>Voci di costo a carattere stipendiale - personale dirigente ruolo professionale tempo indeterm.</t>
  </si>
  <si>
    <t>Retribuzione di posizione - personale dirigente ruolo professionale tempo indeterm.</t>
  </si>
  <si>
    <t>Retribuzione di risultato - personale dirigente ruolo professionale tempo indeterm.</t>
  </si>
  <si>
    <t>Trattamento accessorio - personale dirigente ruolo professionale tempo indeterm.</t>
  </si>
  <si>
    <t>Accantonamento al fondo per TFR dipendenti - personale dirigente ruolo professionale tempo indeterm.</t>
  </si>
  <si>
    <t>Accantonamento ai fondi integrativi pensione - personale dirigente ruolo professionale tempo indeterm.</t>
  </si>
  <si>
    <t>Altre competenze personale dirigente ruolo professionale - personale dirigente ruolo professionale tempo indeterm.</t>
  </si>
  <si>
    <t>Oneri sociali su retribuzione - personale dirigente ruolo professionale tempo indeterm.</t>
  </si>
  <si>
    <t>B.6.A.2) Costo del personale dirigente ruolo professionale - tempo determ.</t>
  </si>
  <si>
    <t>Voci di costo a carattere stipendiale - personale dirigente ruolo professionale tempo determ.</t>
  </si>
  <si>
    <t>Retribuzione di posizione - personale dirigente ruolo professionale tempo determ.</t>
  </si>
  <si>
    <t>Retribuzione di risultato - personale dirigente ruolo professionale tempo determ.</t>
  </si>
  <si>
    <t>Trattamento accessorio - personale dirigente ruolo professionale tempo determ.</t>
  </si>
  <si>
    <t>Accantonamento al fondo per TFR dipendenti - personale dirigente ruolo professionale tempo determ.</t>
  </si>
  <si>
    <t>Accantonamento ai fondi integrativi pensione - personale dirigente ruolo professionale tempo determ.</t>
  </si>
  <si>
    <t>Altre competenze personale dirigente ruolo professionale - personale dirigente ruolo professionale tempo determ.</t>
  </si>
  <si>
    <t>Oneri sociali su retribuzione - personale dirigente ruolo professionale tempo determ.</t>
  </si>
  <si>
    <t>B.6.B.1) Costo del personale comparto ruolo professionale - tempo indeterm.</t>
  </si>
  <si>
    <t>Voci di costo a carattere stipendiale - personale comparto ruolo professionale tempo indeterm.</t>
  </si>
  <si>
    <t>Premialità e condizioni di lavoro personale comparto ruolo professionale - tempo indeterm.</t>
  </si>
  <si>
    <t>Straordinario - personale comparto ruolo professionale tempo indeterm.</t>
  </si>
  <si>
    <t>Condizioni di lavoro - comparto ruolo professionale tempo indeterm.</t>
  </si>
  <si>
    <t>Premialità - comparto ruolo professionale tempo indeterm.</t>
  </si>
  <si>
    <t>Incarichi - personale comparto ruolo professionale tempo indeterm.</t>
  </si>
  <si>
    <t>Progressioni economiche - personale comparto ruolo professionale tempo indeterm.</t>
  </si>
  <si>
    <t>Indennità professionali - personale comparto ruolo professionale tempo indeterm.</t>
  </si>
  <si>
    <t>Accantonamento al fondo per TFR dipendenti - personale comparto ruolo professionale tempo indeterm.</t>
  </si>
  <si>
    <t>Accantonamento ai fondi integrativi pensione - personale comparto ruolo professionale tempo indeterm.</t>
  </si>
  <si>
    <t>Altri oneri per il personale comparto ruolo professionale tempo indeterm.</t>
  </si>
  <si>
    <t>Oneri sociali su retribuzione - personale comparto ruolo professionale tempo indeterm.</t>
  </si>
  <si>
    <t>B.6.B.2) Costo del personale comparto ruolo professionale - tempo determ.</t>
  </si>
  <si>
    <t>Voci di costo a carattere stipendiale - personale comparto ruolo professionale tempo determ.</t>
  </si>
  <si>
    <t>Premialità e condizioni di lavoro personale comparto ruolo professionale - tempo determ.</t>
  </si>
  <si>
    <t>Straordinario - personale comparto ruolo professionale tempo determ.</t>
  </si>
  <si>
    <t>Condizioni di lavoro - comparto ruolo professionale tempo determ.</t>
  </si>
  <si>
    <t>Premialità - comparto ruolo professionale tempo determ.</t>
  </si>
  <si>
    <t>Incarichi - personale comparto ruolo professionale tempo determ.</t>
  </si>
  <si>
    <t>Progressioni economiche - personale comparto ruolo professionale tempo determ.</t>
  </si>
  <si>
    <t>Indennità professionali - personale comparto ruolo professionale tempo determ.</t>
  </si>
  <si>
    <t>Accantonamento al fondo per TFR dipendenti - personale comparto ruolo professionale tempo determ.</t>
  </si>
  <si>
    <t>Accantonamento ai fondi integrativi pensione - personale comparto ruolo professionale tempo determ.</t>
  </si>
  <si>
    <t>Altri oneri per il personale comparto ruolo professionale tempo determ.</t>
  </si>
  <si>
    <t>Oneri sociali su retribuzione - personale comparto ruolo professionale tempo determ.</t>
  </si>
  <si>
    <t>B.7) Personale del ruolo tecnico</t>
  </si>
  <si>
    <t>Voci di costo a carattere stipendiale - personale dirigente ruolo tecnico tempo indeterm.</t>
  </si>
  <si>
    <t>Retribuzione di posizione - personale dirigente ruolo tecnico tempo indeterm.</t>
  </si>
  <si>
    <t>Retribuzione di risultato - personale dirigente ruolo tecnico tempo indeterm.</t>
  </si>
  <si>
    <t>Trattamento accessorio - personale dirigente ruolo tecnico tempo indeterm.</t>
  </si>
  <si>
    <t>Accantonamento al fondo per TFR dipendenti - personale dirigente ruolo tecnico tempo indeterm.</t>
  </si>
  <si>
    <t>Accantonamento ai fondi integrativi pensione - personale dirigente ruolo tecnico tempo indeterm.</t>
  </si>
  <si>
    <t>Altre competenze personale dirigente ruolo tecnico - personale dirigente ruolo tecnico tempo indeterm.</t>
  </si>
  <si>
    <t>Oneri sociali su retribuzione - personale dirigente ruolo tecnico tempo indeterm.</t>
  </si>
  <si>
    <t>Voci di costo a carattere stipendiale - personale dirigente ruolo tecnico tempo determ.</t>
  </si>
  <si>
    <t>Retribuzione di posizione - personale dirigente ruolo tecnico tempo determ.</t>
  </si>
  <si>
    <t>Retribuzione di risultato - personale dirigente ruolo tecnico tempo determ.</t>
  </si>
  <si>
    <t>Trattamento accessorio -  personale dirigente ruolo tecnico tempo determ.</t>
  </si>
  <si>
    <t>Accantonamento al fondo per TFR dipendenti - personale dirigente ruolo tecnico tempo determ.</t>
  </si>
  <si>
    <t>Accantonamento ai fondi integrativi pensione - personale dirigente ruolo tecnico tempo determ.</t>
  </si>
  <si>
    <t>Altre competenze personale dirigente ruolo tecnico - personale dirigente ruolo tecnico tempo determ.</t>
  </si>
  <si>
    <t>Oneri sociali su retribuzione - personale dirigente ruolo tecnico tempo determ.</t>
  </si>
  <si>
    <t>B.7.B.1) a) Costo del personale comparto ruolo tecnico - tempo indeterminato</t>
  </si>
  <si>
    <t>Voci di costo a carattere stipendiale - personale comparto ruolo tecnico tempo indeterm.</t>
  </si>
  <si>
    <t>Premialità e condizioni di lavoro personale comparto ruolo tecnico - tempo indeterm.</t>
  </si>
  <si>
    <t>Straordinario - personale comparto ruolo tecnico tempo indeterm.</t>
  </si>
  <si>
    <t>Condizioni di lavoro - comparto ruolo tecnico tempo indeterm.</t>
  </si>
  <si>
    <t>Premialità - comparto ruolo tecnico tempo indeterm.</t>
  </si>
  <si>
    <t>Incarichi, progressioni economiche ed indennità professionali comparto ruolo tecnico tempo indeterm.</t>
  </si>
  <si>
    <t>Incarichi - personale comparto ruolo tecnico tempo indeterm.</t>
  </si>
  <si>
    <t>Progressioni economiche - personale comparto ruolo tecnico tempo indeterm.</t>
  </si>
  <si>
    <t>Indennità professionali - personale comparto ruolo tecnico tempo indeterm.</t>
  </si>
  <si>
    <t>Accantonamento al fondo per TFR dipendenti - personale comparto ruolo tecnico tempo indeterm.</t>
  </si>
  <si>
    <t>Accantonamento ai fondi integrativi pensione - personale comparto ruolo tecnico tempo indeterm.</t>
  </si>
  <si>
    <t>Altri oneri per il personale comparto ruolo tecnico tempo indeterm.</t>
  </si>
  <si>
    <t>Oneri sociali su retribuzione - personale comparto ruolo tecnico tempo indeterm.</t>
  </si>
  <si>
    <t>B.7.B.1) b) Costo del personale comparto ruolo sociosanitario - tempo indeterminato</t>
  </si>
  <si>
    <t>Voci di costo a carattere stipendiale - personale comparto ruolo sociosanitario tempo indeterm.</t>
  </si>
  <si>
    <t>Premialità e condizioni di lavoro personale comparto ruolo sociosanitario - tempo indeterm.</t>
  </si>
  <si>
    <t>Straordinario - personale comparto ruolo sociosanitario tempo indeterm.</t>
  </si>
  <si>
    <t>Condizioni di lavoro - comparto ruolo sociosanitario tempo indeterm.</t>
  </si>
  <si>
    <t>Premialità - comparto ruolo sociosanitario tempo indeterm.</t>
  </si>
  <si>
    <t>Incarichi, progressioni economiche ed indennità professionali comparto ruolo sociosanitario tempo indeterm.</t>
  </si>
  <si>
    <t>Incarichi - personale comparto ruolo sociosanitario tempo indeterm.</t>
  </si>
  <si>
    <t>Progressioni economiche - personale comparto ruolo sociosanitario tempo indeterm.</t>
  </si>
  <si>
    <t>Indennità professionali - personale comparto ruolo sociosanitario tempo indeterm.</t>
  </si>
  <si>
    <t>Accantonamento al fondo per TFR dipendenti - personale comparto ruolo sociosanitario tempo indeterm.</t>
  </si>
  <si>
    <t>Accantonamento ai fondi integrativi pensione - personale comparto ruolo sociosanitario tempo indeterm.</t>
  </si>
  <si>
    <t>Altri oneri per il personale comparto ruolo sociosanitario tempo indeterm.</t>
  </si>
  <si>
    <t>Oneri sociali su retribuzione - personale comparto ruolo sociosanitario tempo indeterm.</t>
  </si>
  <si>
    <t>B.7.B.2) a) Costo del personale comparto ruolo tecnico - tempo determinato</t>
  </si>
  <si>
    <t>Voci di costo a carattere stipendiale - personale comparto ruolo tecnico tempo determ.</t>
  </si>
  <si>
    <t>Premialità e condizioni di lavoro personale comparto ruolo tecnico - tempo determ.</t>
  </si>
  <si>
    <t>Straordinario - personale comparto ruolo tecnico tempo determ.</t>
  </si>
  <si>
    <t>Condizioni di lavoro - comparto ruolo tecnico tempo determ.</t>
  </si>
  <si>
    <t>Premialità - comparto ruolo tecnico tempo determ.</t>
  </si>
  <si>
    <t>Incarichi, progressioni economiche ed indennità professionali comparto ruolo tecnico tempo determ.</t>
  </si>
  <si>
    <t>Incarichi - personale comparto ruolo tecnico tempo determ.</t>
  </si>
  <si>
    <t>Progressioni economiche - personale comparto ruolo tecnico tempo determ.</t>
  </si>
  <si>
    <t>Indennità professionali - personale comparto ruolo tecnico tempo determ.</t>
  </si>
  <si>
    <t>Accantonamento al fondo per TFR dipendenti - personale comparto ruolo tecnico tempo determ.</t>
  </si>
  <si>
    <t>Accantonamento ai fondi integrativi pensione - personale comparto ruolo tecnico tempo determ.</t>
  </si>
  <si>
    <t>Altri oneri per il personale comparto ruolo tecnico tempo determ.</t>
  </si>
  <si>
    <t>Oneri sociali su retribuzione - personale comparto ruolo tecnico tempo determ.</t>
  </si>
  <si>
    <t>B.7.B.2) b) Costo del personale comparto ruolo sociosanitario - tempo determinato</t>
  </si>
  <si>
    <t>Voci di costo a carattere stipendiale - personale comparto ruolo sociosanitario tempo determ.</t>
  </si>
  <si>
    <t>Premialità e condizioni di lavoro personale comparto ruolo sociosanitario - tempo determ.</t>
  </si>
  <si>
    <t>Straordinario - personale comparto ruolo sociosanitario tempo determ.</t>
  </si>
  <si>
    <t>Condizioni di lavoro - comparto ruolo sociosanitario tempo determ.</t>
  </si>
  <si>
    <t>Premialità - comparto ruolo sociosanitario tempo determ.</t>
  </si>
  <si>
    <t>Incarichi, progressioni economiche ed indennità professionali comparto ruolo sociosanitario tempo determ.</t>
  </si>
  <si>
    <t>Incarichi - personale comparto ruolo sociosanitario tempo determ.</t>
  </si>
  <si>
    <t>Progressioni economiche - personale comparto ruolo sociosanitario tempo determ.</t>
  </si>
  <si>
    <t>Indennità professionali - personale comparto ruolo sociosanitario tempo determ.</t>
  </si>
  <si>
    <t>Accantonamento al fondo per TFR dipendenti - personale comparto ruolo sociosanitario tempo determ.</t>
  </si>
  <si>
    <t>Accantonamento ai fondi integrativi pensione - personale comparto ruolo sociosanitario tempo determ.</t>
  </si>
  <si>
    <t>Altri oneri per il personale comparto ruolo sociosanitario tempo determ.</t>
  </si>
  <si>
    <t>Oneri sociali su retribuzione - personale comparto ruolo sociosanitario tempo determ.</t>
  </si>
  <si>
    <t>B.8) Personale del ruolo amministrativo</t>
  </si>
  <si>
    <t>Voci di costo a carattere stipendiale - personale dirigente ruolo amministrativo tempo indeterm.</t>
  </si>
  <si>
    <t>Retribuzione di posizione - personale dirigente ruolo amministrativo tempo indeterm.</t>
  </si>
  <si>
    <t>Retribuzione di risultato - personale dirigente ruolo amministrativo tempo indeterm.</t>
  </si>
  <si>
    <t>Trattamento accessorio - personale dirigente ruolo amministrativo tempo indeterm.</t>
  </si>
  <si>
    <t>Accantonamento al fondo per TFR dipendenti - personale dirigente ruolo amministrativo tempo indeterm.</t>
  </si>
  <si>
    <t>Accantonamento ai fondi integrativi pensione - personale dirigente ruolo amministrativo tempo indeterm.</t>
  </si>
  <si>
    <t>Altre competenze personale dirigente ruolo amministrativo - personale dirigente ruolo amministrativo tempo indeterm.</t>
  </si>
  <si>
    <t>Oneri sociali su retribuzione - personale dirigente ruolo amministrativo tempo indeterm.</t>
  </si>
  <si>
    <t>Voci di costo a carattere stipendiale - personale dirigente ruolo amministrativo tempo determ.</t>
  </si>
  <si>
    <t>Retribuzione di posizione - personale dirigente ruolo amministrativo tempo determ.</t>
  </si>
  <si>
    <t>Retribuzione di risultato -  personale dirigente ruolo amministrativo tempo determ.</t>
  </si>
  <si>
    <t>Trattamento accessorio - personale dirigente ruolo amministrativo tempo determ.</t>
  </si>
  <si>
    <t>Accantonamento al fondo per TFR dipendenti - personale dirigente ruolo amministrativo tempo determ.</t>
  </si>
  <si>
    <t>Accantonamento ai fondi integrativi pensione - personale dirigente ruolo amministrativo tempo determ.</t>
  </si>
  <si>
    <t>Altre competenze personale dirigente ruolo amministrativo - personale dirigente ruolo amministrativo tempo determ.</t>
  </si>
  <si>
    <t>Oneri sociali su retribuzione - personale dirigente ruolo amministrativo tempo determ.</t>
  </si>
  <si>
    <t>Voci di costo a carattere stipendiale - personale comparto ruolo amministrativo tempo indeterm.</t>
  </si>
  <si>
    <t>Premialità e condizioni di lavoro personale comparto ruolo amministrativo - tempo indeterm.</t>
  </si>
  <si>
    <t>Straordinario - personale comparto ruolo amministrativo tempo indeterm.</t>
  </si>
  <si>
    <t>Condizioni di lavoro - comparto ruolo amministrativo tempo indeterm.</t>
  </si>
  <si>
    <t>Premialità - comparto ruolo amministrativo tempo indeterm.</t>
  </si>
  <si>
    <t>Incarichi, progressioni economiche ed indennità professionali comparto ruolo amministrativo tempo indeterm.</t>
  </si>
  <si>
    <t>Incarichi - personale comparto ruolo amministrativo tempo indeterm.</t>
  </si>
  <si>
    <t>Progressioni economiche - personale comparto amministrativo tecnico tempo indeterm.</t>
  </si>
  <si>
    <t>Indennità professionali - personale comparto ruolo amministrativo tempo indeterm.</t>
  </si>
  <si>
    <t>Accantonamento al fondo per TFR dipendenti - personale comparto ruolo amministrativo tempo indeterm.</t>
  </si>
  <si>
    <t>Accantonamento ai fondi integrativi pensione - personale comparto ruolo amministrativo tempo indeterm.</t>
  </si>
  <si>
    <t>Altri oneri per il personale comparto ruolo amministrativo tempo indeterm.</t>
  </si>
  <si>
    <t>Oneri sociali su retribuzione - personale comparto ruolo amministrativo tempo indeterm.</t>
  </si>
  <si>
    <t>Voci di costo a carattere stipendiale - personale comparto ruolo amministrativo tempo determ.</t>
  </si>
  <si>
    <t>Premialità e condizioni di lavoro personale comparto ruolo amministrativo - tempo determ.</t>
  </si>
  <si>
    <t>Straordinario - personale comparto ruolo amministrativo tempo determ.</t>
  </si>
  <si>
    <t>Condizioni di lavoro - comparto ruolo amministrativo tempo determ.</t>
  </si>
  <si>
    <t>Premialità - comparto ruolo amministrativo tempo determ.</t>
  </si>
  <si>
    <t>Incarichi, progressioni economiche ed indennità professionali comparto ruolo amministrativo tempo determ.</t>
  </si>
  <si>
    <t>Incarichi - personale comparto ruolo amministrativo tempo determ.</t>
  </si>
  <si>
    <t>Progressioni economiche - personale comparto amministrativo tecnico tempo determ.</t>
  </si>
  <si>
    <t>Indennità professionali - personale comparto ruolo amministrativo tempo determ.</t>
  </si>
  <si>
    <t>Accantonamento al fondo per TFR dipendenti - personale comparto ruolo amministrativo tempo determ.</t>
  </si>
  <si>
    <t>Accantonamento ai fondi integrativi pensione - personale comparto ruolo amministrativo tempo determ.</t>
  </si>
  <si>
    <t>Altri oneri per il personale comparto ruolo amministrativo tempo determ.</t>
  </si>
  <si>
    <t>Oneri sociali su retribuzione - personale comparto ruolo amministrativo tempo determ.</t>
  </si>
  <si>
    <t>B.9) Oneri diversi di gestione</t>
  </si>
  <si>
    <t>B.9.A) Imposte e tasse (escluso IRAP e IRES)</t>
  </si>
  <si>
    <t>B.9.B) Perdite su crediti</t>
  </si>
  <si>
    <t>B.9.C.1) Indennità, rimborso spese e oneri sociali per gli Organi Direttivi e Collegio Sindacale</t>
  </si>
  <si>
    <t>Indennità organi direttivi e di indirizzo</t>
  </si>
  <si>
    <t>Oneri sociali organi direttivi e di indirizzo</t>
  </si>
  <si>
    <t>Indennità collegio sindacale</t>
  </si>
  <si>
    <t>Oneri sociali collegio sindacale</t>
  </si>
  <si>
    <t>Indennità altri organismi</t>
  </si>
  <si>
    <t>Oneri sociali altri organismi</t>
  </si>
  <si>
    <t>B.9.C.2) Altri oneri diversi di gestione</t>
  </si>
  <si>
    <t>Ammortamento Diritti di brevetto e diritti di utilizzazione delle opere d'ingegno derivanti dall'attività di ricerca</t>
  </si>
  <si>
    <t>Svalutazione automezzi</t>
  </si>
  <si>
    <t>Svalutazione Crediti v/Stato per ricerca - altre Amministrazioni centrali</t>
  </si>
  <si>
    <t>Var. rim. prodotti farmaceutici ed emoderivati</t>
  </si>
  <si>
    <t>Var. rim. sangue ed emocomponenti</t>
  </si>
  <si>
    <t>Var. rim. dispositivi medici</t>
  </si>
  <si>
    <t>Var. rim. prodotti dietetici</t>
  </si>
  <si>
    <t>Var. rim. materiali per la profilassi (vaccini)</t>
  </si>
  <si>
    <t>Var. rim. prodotti chimici</t>
  </si>
  <si>
    <t>Var. rim. materiali e prodotti per uso veterinario</t>
  </si>
  <si>
    <t xml:space="preserve">Var. rim. altri beni e prodotti sanitari </t>
  </si>
  <si>
    <t>Var. rim. prodotti alimentari</t>
  </si>
  <si>
    <t>Var. rim. materiali di guardaroba, di pulizia e di convivenza in genere</t>
  </si>
  <si>
    <t>Var. rim. combustibili, carburanti e lubrificanti</t>
  </si>
  <si>
    <t>Var. rim. supporti informatici e cancelleria</t>
  </si>
  <si>
    <t>Var. rim. materiale per la manutenzione</t>
  </si>
  <si>
    <t xml:space="preserve">Var. rim. altri beni e prodotti non sanitari </t>
  </si>
  <si>
    <t>B.14) Accantonamenti dell'esercizio</t>
  </si>
  <si>
    <t>B.14.A.7)  Altri accantonamenti per interessi di mora</t>
  </si>
  <si>
    <t>B.14.C) Accantonamenti per quote inutilizzate di contributi vincolati</t>
  </si>
  <si>
    <t>Accantonamenti per quote inutilizzate contributi da Regione e Prov. Aut. per quota F.S. indistinto finalizzato</t>
  </si>
  <si>
    <t>B.14.D.8) Acc. per Fondi integrativi pensione</t>
  </si>
  <si>
    <t>CA0000</t>
  </si>
  <si>
    <t>C) Proventi e oneri finanziari</t>
  </si>
  <si>
    <t>Interessi moratori e legali attivi</t>
  </si>
  <si>
    <t>C.3) Interessi passivi</t>
  </si>
  <si>
    <t>Interessi moratori e legali passivi</t>
  </si>
  <si>
    <t>DA0000</t>
  </si>
  <si>
    <t>D) Rettifiche di valore di attività finanziarie</t>
  </si>
  <si>
    <t>D.1) Rivalutazioni</t>
  </si>
  <si>
    <t>D.2) Svalutazioni</t>
  </si>
  <si>
    <t>EA0000</t>
  </si>
  <si>
    <t>E) Proventi e oneri straordinari</t>
  </si>
  <si>
    <t>E.1.B.3) Insussistenze attive</t>
  </si>
  <si>
    <t>9</t>
  </si>
  <si>
    <t>YA0000</t>
  </si>
  <si>
    <t>Imposte e tasse</t>
  </si>
  <si>
    <t>TOTALE COSTI</t>
  </si>
  <si>
    <t>Esercizio 
2023</t>
  </si>
  <si>
    <t>Esercizio 
2022</t>
  </si>
  <si>
    <t>VARIAZIONE 2023/2022</t>
  </si>
  <si>
    <t>IMPORTO
2023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</si>
  <si>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</si>
  <si>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</si>
  <si>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</si>
  <si>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</si>
  <si>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</si>
  <si>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</si>
  <si>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</si>
  <si>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Importo
2023</t>
  </si>
  <si>
    <t>Importo
2022</t>
  </si>
  <si>
    <t xml:space="preserve"> </t>
  </si>
  <si>
    <t>A</t>
  </si>
  <si>
    <t>ATTIVO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</si>
  <si>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</si>
  <si>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</si>
  <si>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</si>
  <si>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</si>
  <si>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</si>
  <si>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</si>
  <si>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</si>
  <si>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</si>
  <si>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Costi di impianto e di ampliamento</t>
  </si>
  <si>
    <t>AAA030</t>
  </si>
  <si>
    <t>A.I.1.b) F.do Amm.to costi di impianto e di ampliamento</t>
  </si>
  <si>
    <t>F.do Amm.to costi di impianto e di ampliamento</t>
  </si>
  <si>
    <t>AAA040</t>
  </si>
  <si>
    <t>A.I.2) Costi di ricerca e sviluppo</t>
  </si>
  <si>
    <t>AAA050</t>
  </si>
  <si>
    <t>A.I.2.a) Costi di ricerca e sviluppo</t>
  </si>
  <si>
    <t>Costi di ricerca e sviluppo</t>
  </si>
  <si>
    <t>AAA060</t>
  </si>
  <si>
    <t>A.I.2.b) F.do Amm.to costi di ricerca e sviluppo</t>
  </si>
  <si>
    <t>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</si>
  <si>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</si>
  <si>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</si>
  <si>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</si>
  <si>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 ricerca</t>
  </si>
  <si>
    <t>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</si>
  <si>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</si>
  <si>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</si>
  <si>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</si>
  <si>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</si>
  <si>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</si>
  <si>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Diritti di brevetto e diritti di utilizzazione delle opere d'ingegno - altri</t>
  </si>
  <si>
    <t>AAA110</t>
  </si>
  <si>
    <t>A.I.3.d) F.do Amm.to diritti di brevetto e diritti di utilizzazione delle opere d'ingegno - altri</t>
  </si>
  <si>
    <t>F.do Amm.to diritti di brevetto e diritti di utilizzazione delle opere d'ingegno - altri</t>
  </si>
  <si>
    <t>AAA120</t>
  </si>
  <si>
    <t>A.I.4) Immobilizzazioni immateriali in corso e acconti</t>
  </si>
  <si>
    <t>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</si>
  <si>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</si>
  <si>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</si>
  <si>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</si>
  <si>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</si>
  <si>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Concessioni, licenze, marchi e diritti simili</t>
  </si>
  <si>
    <t>AAA150</t>
  </si>
  <si>
    <t>A.I.5.b) F.do Amm.to concessioni, licenze, marchi e diritti simili</t>
  </si>
  <si>
    <t>F.do Amm.to concessioni, licenze, marchi e diritti simili</t>
  </si>
  <si>
    <t>AAA160</t>
  </si>
  <si>
    <t>A.I.5.c) Migliorie su beni di terzi</t>
  </si>
  <si>
    <t>Migliorie su beni di terzi</t>
  </si>
  <si>
    <t>AAA170</t>
  </si>
  <si>
    <t>A.I.5.d) F.do Amm.to migliorie su beni di terzi</t>
  </si>
  <si>
    <t>F.do Amm.to migliorie su beni di terzi</t>
  </si>
  <si>
    <t>AAA180</t>
  </si>
  <si>
    <t>A.I.5.e) Pubblicità</t>
  </si>
  <si>
    <t>Pubblicità</t>
  </si>
  <si>
    <t>AAA190</t>
  </si>
  <si>
    <t>A.I.5.f) F.do Amm.to pubblicità</t>
  </si>
  <si>
    <t>F.do Amm.to pubblicità</t>
  </si>
  <si>
    <t>AAA200</t>
  </si>
  <si>
    <t>A.I.5.g) Altre immobilizzazioni immateriali</t>
  </si>
  <si>
    <t>Altre immobilizzazioni immateriali</t>
  </si>
  <si>
    <t>AAA210</t>
  </si>
  <si>
    <t>A.I.5.h) F.do Amm.to altre immobilizzazioni immateriali</t>
  </si>
  <si>
    <t>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</si>
  <si>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</si>
  <si>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</si>
  <si>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</si>
  <si>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</si>
  <si>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F.do Svalut. Costi di impianto e di ampliamento</t>
  </si>
  <si>
    <t>AAA240</t>
  </si>
  <si>
    <t>A.I.6.b) F.do Svalut. Costi di ricerca e sviluppo</t>
  </si>
  <si>
    <t>F.do Svalut. Costi di ricerca e sviluppo</t>
  </si>
  <si>
    <t>AAA250</t>
  </si>
  <si>
    <t>A.I.6.c) F.do Svalut. Diritti di brevetto e diritti di utilizzazione delle opere d'ingegno</t>
  </si>
  <si>
    <t>F.do Svalut. Diritti di brevetto e diritti di utilizzazione delle opere d'ingegno</t>
  </si>
  <si>
    <t>AAA260</t>
  </si>
  <si>
    <t>A.I.6.d) F.do Svalut. Altre immobilizzazioni immateriali</t>
  </si>
  <si>
    <t>F.do Svalut. Altre immobilizzazioni immateriali</t>
  </si>
  <si>
    <t>AAA270</t>
  </si>
  <si>
    <t>A.II) IMMOBILIZZAZIONI MATERIALI</t>
  </si>
  <si>
    <t>AAA280</t>
  </si>
  <si>
    <t>A.II.1) Terreni</t>
  </si>
  <si>
    <t>AAA290</t>
  </si>
  <si>
    <t>A.II.1.a) Terreni disponibili</t>
  </si>
  <si>
    <t>Terreni disponibili</t>
  </si>
  <si>
    <t>AAA300</t>
  </si>
  <si>
    <t>A.II.1.b) Terreni indisponibili</t>
  </si>
  <si>
    <t>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</si>
  <si>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</si>
  <si>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</si>
  <si>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</si>
  <si>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</si>
  <si>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</si>
  <si>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</si>
  <si>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Fabbricati non strumentali (disponibili)</t>
  </si>
  <si>
    <t>AAA340</t>
  </si>
  <si>
    <t>A.II.2.a.2) F.do Amm.to Fabbricati non strumentali (disponibili)</t>
  </si>
  <si>
    <t>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</si>
  <si>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</si>
  <si>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</si>
  <si>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</si>
  <si>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</si>
  <si>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Fabbricati strumentali (indisponibili)</t>
  </si>
  <si>
    <t>AAA370</t>
  </si>
  <si>
    <t>A.II.2.b.2) F.do Amm.to Fabbricati strumentali (indisponibili)</t>
  </si>
  <si>
    <t>F.do Amm.to Fabbricati strumentali (indisponibili)</t>
  </si>
  <si>
    <t>AAA380</t>
  </si>
  <si>
    <t>A.II.3) Impianti e macchinari</t>
  </si>
  <si>
    <t>AAA390</t>
  </si>
  <si>
    <t>A.II.3.a) Impianti e macchinari</t>
  </si>
  <si>
    <t>Impianti e macchinari</t>
  </si>
  <si>
    <t>AAA400</t>
  </si>
  <si>
    <t>A.II.3.b) F.do Amm.to Impianti e macchinari</t>
  </si>
  <si>
    <t>F.do Amm.to Impianti e macchinari</t>
  </si>
  <si>
    <t>AAA410</t>
  </si>
  <si>
    <t>A.II.4) Attrezzature sanitarie e scientifiche</t>
  </si>
  <si>
    <t>AAA420</t>
  </si>
  <si>
    <t>A.II.4.a) Attrezzature sanitarie e scientifiche</t>
  </si>
  <si>
    <t>Attrezzature sanitarie e scientifiche</t>
  </si>
  <si>
    <t>AAA430</t>
  </si>
  <si>
    <t>A.II.4.b) F.do Amm.to Attrezzature sanitarie e scientifiche</t>
  </si>
  <si>
    <t>F.do Amm.to Attrezzature sanitarie e scientifiche</t>
  </si>
  <si>
    <t>AAA440</t>
  </si>
  <si>
    <t>A.II.5) Mobili e arredi</t>
  </si>
  <si>
    <t>AAA450</t>
  </si>
  <si>
    <t>A.II.5.a) Mobili e arredi</t>
  </si>
  <si>
    <t>Mobili e arredi</t>
  </si>
  <si>
    <t>AAA460</t>
  </si>
  <si>
    <t>A.II.5.b) F.do Amm.to Mobili e arredi</t>
  </si>
  <si>
    <t>F.do Amm.to Mobili e arredi</t>
  </si>
  <si>
    <t>AAA470</t>
  </si>
  <si>
    <t>A.II.6) Automezzi</t>
  </si>
  <si>
    <t>AAA480</t>
  </si>
  <si>
    <t>A.II.6.a) Automezzi</t>
  </si>
  <si>
    <t>Automezzi</t>
  </si>
  <si>
    <t>AAA490</t>
  </si>
  <si>
    <t>A.II.6.b) F.do Amm.to Automezzi</t>
  </si>
  <si>
    <t>F.do Amm.to Automezzi</t>
  </si>
  <si>
    <t>AAA500</t>
  </si>
  <si>
    <t>A.II.7) Oggetti d'arte</t>
  </si>
  <si>
    <t>Oggetti d'arte</t>
  </si>
  <si>
    <t>AAA510</t>
  </si>
  <si>
    <t>A.II.8) Altre immobilizzazioni materiali</t>
  </si>
  <si>
    <t>AAA520</t>
  </si>
  <si>
    <t>A.II.8.a) Altre immobilizzazioni materiali</t>
  </si>
  <si>
    <t>Altre immobilizzazioni materiali</t>
  </si>
  <si>
    <t>AAA530</t>
  </si>
  <si>
    <t>A.II.8.b) F.do Amm.to Altre immobilizzazioni materiali</t>
  </si>
  <si>
    <t>F.do Amm.to Altre immobilizzazioni materiali</t>
  </si>
  <si>
    <t>AAA540</t>
  </si>
  <si>
    <t>A.II.9) Immobilizzazioni materiali in corso e acconti</t>
  </si>
  <si>
    <t>Immobilizzazioni materiali in corso e acconti</t>
  </si>
  <si>
    <t>AAA550</t>
  </si>
  <si>
    <t>A.II.10) Fondo Svalutazione immobilizzazioni materiali</t>
  </si>
  <si>
    <t>AAA560</t>
  </si>
  <si>
    <t>A.II.10.a) F.do Svalut. Terreni</t>
  </si>
  <si>
    <t>F.do Svalut. Terreni disponibili</t>
  </si>
  <si>
    <t>F.do Svalut. Terreni indisponibili</t>
  </si>
  <si>
    <t>AAA570</t>
  </si>
  <si>
    <t>A.II.10.b) F.do Svalut. Fabbricati</t>
  </si>
  <si>
    <t>F.do Svalut. Fabbricati disponibili</t>
  </si>
  <si>
    <t>F.do Svalut. Fabbricati indisponibili</t>
  </si>
  <si>
    <t>AAA580</t>
  </si>
  <si>
    <t>A.II.10.c) F.do Svalut. Impianti e macchinari</t>
  </si>
  <si>
    <t>F.do Svalut. Impianti e macchinari</t>
  </si>
  <si>
    <t>AAA590</t>
  </si>
  <si>
    <t>A.II.10.d) F.do Svalut. Attrezzature sanitarie e scientifiche</t>
  </si>
  <si>
    <t>F.do Svalut. Attrezzature sanitarie e scientifiche</t>
  </si>
  <si>
    <t>AAA600</t>
  </si>
  <si>
    <t>A.II.10.e) F.do Svalut. Mobili e arredi</t>
  </si>
  <si>
    <t>F.do Svalut. Mobili e arredi</t>
  </si>
  <si>
    <t>AAA610</t>
  </si>
  <si>
    <t>A.II.10.f) F.do Svalut. Automezzi</t>
  </si>
  <si>
    <t>F.do Svalut. Automezzi</t>
  </si>
  <si>
    <t>AAA620</t>
  </si>
  <si>
    <t>A.II.10.g) F.do Svalut. Oggetti d'arte</t>
  </si>
  <si>
    <t>F.do Svalut. Oggetti d'arte</t>
  </si>
  <si>
    <t>AAA630</t>
  </si>
  <si>
    <t>A.II.10.h) F.do Svalut. Altre immobilizzazioni materiali</t>
  </si>
  <si>
    <t>F.do Svalut. Altre immobilizzazioni materiali</t>
  </si>
  <si>
    <t>AAA640</t>
  </si>
  <si>
    <t>A.III) IMMOBILIZZAZIONI FINANZIARIE</t>
  </si>
  <si>
    <t>AAA650</t>
  </si>
  <si>
    <t>A.III.1) Crediti finanziari</t>
  </si>
  <si>
    <t>AAA660</t>
  </si>
  <si>
    <t>A.III.1.a) Crediti finanziari v/Stato</t>
  </si>
  <si>
    <t>Crediti finanziari v/Stato</t>
  </si>
  <si>
    <t>Fondo svalutazione Crediti finanziari v/Stato</t>
  </si>
  <si>
    <t>AAA670</t>
  </si>
  <si>
    <t>A.III.1.b) Crediti finanziari v/Regione</t>
  </si>
  <si>
    <t>Crediti finanziari v/Regione</t>
  </si>
  <si>
    <t>Fondo svalutazione Crediti finanziari v/Regione</t>
  </si>
  <si>
    <t>AAA680</t>
  </si>
  <si>
    <t>A.III.1.c) Crediti finanziari v/partecipate</t>
  </si>
  <si>
    <t>Crediti finanziari v/partecipate</t>
  </si>
  <si>
    <t>Fondo svalutazione Crediti finanziari v/partecipate</t>
  </si>
  <si>
    <t>AAA690</t>
  </si>
  <si>
    <t>A.III.1.d) Crediti finanziari v/altri</t>
  </si>
  <si>
    <t>per contributi in conto capitale su gestioni pregresse (ASSR e altri)</t>
  </si>
  <si>
    <t>per contributi in conto capitale su gestioni liquidatorie (ASSR e altri)</t>
  </si>
  <si>
    <t>Altri crediti (ASSR e altri)</t>
  </si>
  <si>
    <t>Fondo svalutazione Crediti finanziari v/altri</t>
  </si>
  <si>
    <t>AAA700</t>
  </si>
  <si>
    <t>A.III.2) Titoli</t>
  </si>
  <si>
    <t>AAA710</t>
  </si>
  <si>
    <t>A.III.2.a) Partecipazioni</t>
  </si>
  <si>
    <t>Partecipazioni</t>
  </si>
  <si>
    <t>AAA720</t>
  </si>
  <si>
    <t>A.III.2.b) Altri titoli</t>
  </si>
  <si>
    <t>AAA730</t>
  </si>
  <si>
    <t>A.III.2.b.1) Titoli di Stato</t>
  </si>
  <si>
    <t>Titoli di Stato</t>
  </si>
  <si>
    <t>AAA740</t>
  </si>
  <si>
    <t>A.III.2.b.2) Altre Obbligazioni</t>
  </si>
  <si>
    <t>Altre Obbligazioni</t>
  </si>
  <si>
    <t>AAA750</t>
  </si>
  <si>
    <t>A.III.2.b.3) Titoli azionari quotati in Borsa</t>
  </si>
  <si>
    <t>Titoli azionari quotati in Borsa</t>
  </si>
  <si>
    <t>AAA760</t>
  </si>
  <si>
    <t>A.III.2.b.4) Titoli diversi</t>
  </si>
  <si>
    <t>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</si>
  <si>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</si>
  <si>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</si>
  <si>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</si>
  <si>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</si>
  <si>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</si>
  <si>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</si>
  <si>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</si>
  <si>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</si>
  <si>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Rim. medicinali con AIC, ad eccezione di vaccini ed emoderivati di produzione regionale</t>
  </si>
  <si>
    <t>Rim. medicinali senza AIC</t>
  </si>
  <si>
    <t>Rim. emoderivati di produzione regionale</t>
  </si>
  <si>
    <t>ABA030</t>
  </si>
  <si>
    <t>B.I.1.b) Sangue ed emocomponenti</t>
  </si>
  <si>
    <t>Rim. sangue ed emocomponenti</t>
  </si>
  <si>
    <t>ABA040</t>
  </si>
  <si>
    <t>B.I.1.c) Dispositivi medici</t>
  </si>
  <si>
    <t>Rim. dispositivi medici</t>
  </si>
  <si>
    <t>Rim. dispositivi medici impiantabili attivi</t>
  </si>
  <si>
    <t>Rim. dispositivi medico diagnostici in vitro (IVD)</t>
  </si>
  <si>
    <t>ABA050</t>
  </si>
  <si>
    <t>B.I.1.d) Prodotti dietetici</t>
  </si>
  <si>
    <t>Rim. prodotti dietetici</t>
  </si>
  <si>
    <t>ABA060</t>
  </si>
  <si>
    <t>B.I.1.e) Materiali per la profilassi (vaccini)</t>
  </si>
  <si>
    <t>Rim. materiali per la profilassi (vaccini)</t>
  </si>
  <si>
    <t>ABA070</t>
  </si>
  <si>
    <t>B.I.1.f) Prodotti chimici</t>
  </si>
  <si>
    <t>Rim. prodotti chimici</t>
  </si>
  <si>
    <t>ABA080</t>
  </si>
  <si>
    <t>B.I.1.g) Materiali e prodotti per uso veterinario</t>
  </si>
  <si>
    <t>Rim. materiali e prodotti per uso veterinario</t>
  </si>
  <si>
    <t>ABA090</t>
  </si>
  <si>
    <t>B.I.1.h) Altri beni e prodotti sanitari</t>
  </si>
  <si>
    <t>Rim. altri beni e prodotti sanitari</t>
  </si>
  <si>
    <t>ABA100</t>
  </si>
  <si>
    <t>B.I.1.i) Acconti per acquisto di beni e prodotti sanitari</t>
  </si>
  <si>
    <t>Acconti per acquisto di beni e prodotti sanitari</t>
  </si>
  <si>
    <t>ABA110</t>
  </si>
  <si>
    <t>B.I.2) Rimanenze beni non sanitari</t>
  </si>
  <si>
    <t>ABA120</t>
  </si>
  <si>
    <t>B.I.2.a) Prodotti alimentari</t>
  </si>
  <si>
    <t>Rim. prodotti alimentari</t>
  </si>
  <si>
    <t>ABA130</t>
  </si>
  <si>
    <t>B.I.2.b) Materiali di guardaroba, di pulizia, e di convivenza in genere</t>
  </si>
  <si>
    <t>Rim. materiali di guardaroba, di pulizia, e di convivenza in genere</t>
  </si>
  <si>
    <t>ABA140</t>
  </si>
  <si>
    <t>B.I.2.c) Combustibili, carburanti e lubrificanti</t>
  </si>
  <si>
    <t>Rim. combustibili, carburanti e lubrificanti</t>
  </si>
  <si>
    <t>ABA150</t>
  </si>
  <si>
    <t>B.I.2.d) Supporti informatici e cancelleria</t>
  </si>
  <si>
    <t>Rim. supporti informatici e cancelleria</t>
  </si>
  <si>
    <t>ABA160</t>
  </si>
  <si>
    <t>B.I.2.e) Materiale per la manutenzione</t>
  </si>
  <si>
    <t>Rim. materiale per la manutenzione</t>
  </si>
  <si>
    <t>ABA170</t>
  </si>
  <si>
    <t>B.I.2.f) Altri beni e prodotti non sanitari</t>
  </si>
  <si>
    <t>Rim. altri beni e prodotti non sanitari</t>
  </si>
  <si>
    <t>ABA180</t>
  </si>
  <si>
    <t>B.I.2.g) Acconti per acquisto di beni e prodotti non sanitari</t>
  </si>
  <si>
    <t>Acconti per acquisto di beni e prodotti non sanitari</t>
  </si>
  <si>
    <t>ABA190</t>
  </si>
  <si>
    <t>B.II) CREDITI</t>
  </si>
  <si>
    <t>ABA200</t>
  </si>
  <si>
    <t>B.II.1) Crediti v/Stato</t>
  </si>
  <si>
    <t>ABA201</t>
  </si>
  <si>
    <t>B.II.1.a) Crediti v/Stato per spesa corrente - FSN indistinto</t>
  </si>
  <si>
    <t>Crediti v/Stato per spesa corrente - FSN indistinto</t>
  </si>
  <si>
    <t>Fondo Svalutazione Crediti v/Stato per spesa corrente - FSN indistinto</t>
  </si>
  <si>
    <t>ABA220</t>
  </si>
  <si>
    <t>B.II.1.b) Crediti v/Stato per spesa corrente - FSN vincolato</t>
  </si>
  <si>
    <t>Crediti v/Stato per spesa corrente - FSN vincolato</t>
  </si>
  <si>
    <t>Fondo Svalutazione Crediti v/Stato per spesa corrente - FSN vincolato</t>
  </si>
  <si>
    <t>ABA230</t>
  </si>
  <si>
    <t>B.II.1.c) Crediti v/Stato per mobilità attiva extraregionale</t>
  </si>
  <si>
    <t>Crediti v/Stato per mobilità attiva extraregionale</t>
  </si>
  <si>
    <t>Fondo Svalutazione Crediti v/Stato per mobilità attiva extraregionale</t>
  </si>
  <si>
    <t>ABA240</t>
  </si>
  <si>
    <t>B.II.1.d) Crediti v/Stato per mobilità attiva internazionale</t>
  </si>
  <si>
    <t>Crediti v/Stato per mobilità attiva internazionale</t>
  </si>
  <si>
    <t>Fondo Svalutazione Crediti v/Stato per mobilità attiva internazionale</t>
  </si>
  <si>
    <t>ABA250</t>
  </si>
  <si>
    <t>B.II.1.e) Crediti v/Stato per acconto quota fabbisogno sanitario regionale standard</t>
  </si>
  <si>
    <t>Crediti v/Stato per acconto quota fabbisogno sanitario regionale standard</t>
  </si>
  <si>
    <t>Fondo Svalutazione Crediti v/Stato per acconto quota fabbisogno sanitario regionale standard</t>
  </si>
  <si>
    <t>ABA260</t>
  </si>
  <si>
    <t>B.II.1.f) Crediti v/Stato per finanziamento sanitario aggiuntivo corrente</t>
  </si>
  <si>
    <t>Crediti v/Stato per finanziamento sanitario aggiuntivo corrente</t>
  </si>
  <si>
    <t>Fondo Svalutazione Crediti v/Stato per finanziamento sanitario aggiuntivo corrente</t>
  </si>
  <si>
    <t>ABA270</t>
  </si>
  <si>
    <t>B.II.1.g) Crediti v/Stato per spesa corrente - altro</t>
  </si>
  <si>
    <t>Crediti v/Stato per spesa corrente - altro</t>
  </si>
  <si>
    <t>Crediti per fatture e ricevute da emettere v/Stato per spesa corrente</t>
  </si>
  <si>
    <t>Note di credito da emettere v/Stato per spesa corrente</t>
  </si>
  <si>
    <t>Fondo Svalutazione  Crediti v/Stato per spesa corrente - altro</t>
  </si>
  <si>
    <t>ABA271</t>
  </si>
  <si>
    <t>B.II.1.h) Crediti v/Stato per spesa corrente  per STP (ex D.Lgs. 286/98)</t>
  </si>
  <si>
    <t>Crediti v/Stato per spesa corrente per STP (ex D.lgs. 286/98)</t>
  </si>
  <si>
    <t>Fondo Svalutazione Crediti v/Stato per spesa corrente per STP (ex D.lgs. 286/98)</t>
  </si>
  <si>
    <t>ABA280</t>
  </si>
  <si>
    <t>B.II.1.i) Crediti v/Stato per finanziamenti per investimenti</t>
  </si>
  <si>
    <t>Crediti v/Stato per finanziamenti per investimenti</t>
  </si>
  <si>
    <t>Fondo Svalutazione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</si>
  <si>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</si>
  <si>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</si>
  <si>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</si>
  <si>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</si>
  <si>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Crediti v/Stato per ricerca corrente - Ministero della Salute</t>
  </si>
  <si>
    <t>Fondo Svalutazione Crediti v/Stato per ricerca corrente - Ministero della Salute</t>
  </si>
  <si>
    <t>ABA310</t>
  </si>
  <si>
    <t>B.II.1.j.2) Crediti v/Stato per ricerca finalizzata - Ministero della Salute</t>
  </si>
  <si>
    <t>Crediti v/Stato per ricerca finalizzata - Ministero della Salute</t>
  </si>
  <si>
    <t>Fondo Svalutazione Crediti v/Stato per ricerca finalizzata - Ministero della Salute</t>
  </si>
  <si>
    <t>ABA320</t>
  </si>
  <si>
    <t>B.II.1.j.3) Crediti v/Stato per ricerca - altre Amministrazioni centrali</t>
  </si>
  <si>
    <t>Crediti verso ministero dell'università</t>
  </si>
  <si>
    <t>Crediti verso ministero della difesa</t>
  </si>
  <si>
    <t>Crediti verso altre Amministrazioni centrali</t>
  </si>
  <si>
    <t>Fondo Svalutazione Crediti v/Stato per ricerca - altre Amministrazioni centrali</t>
  </si>
  <si>
    <t>ABA330</t>
  </si>
  <si>
    <t>B.II.1.j.4) Crediti v/Stato per ricerca - finanziamenti per investimenti</t>
  </si>
  <si>
    <t>Crediti v/Stato per ricerca - finanziamenti per investimenti</t>
  </si>
  <si>
    <t>Fondo Svalutazione Crediti v/Stato per ricerca - finanziamenti per investimenti</t>
  </si>
  <si>
    <t>ABA340</t>
  </si>
  <si>
    <t>B.II.1.k) Crediti v/prefetture</t>
  </si>
  <si>
    <t>Crediti verso prefetture</t>
  </si>
  <si>
    <t>Crediti per fatture e ricevute da emettere v/prefetture</t>
  </si>
  <si>
    <t>Note di credito da emettere v/prefetture</t>
  </si>
  <si>
    <t>Fondo Svalutazione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</si>
  <si>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</si>
  <si>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</si>
  <si>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</si>
  <si>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</si>
  <si>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ABA390</t>
  </si>
  <si>
    <t>B.II.2.a.1) Crediti v/Regione o Provincia Autonoma per quota FSR</t>
  </si>
  <si>
    <t>Crediti v/Regione o Provincia Autonoma per quota FSR</t>
  </si>
  <si>
    <t>Fondo Svalutazione Crediti v/Regione o Provincia Autonoma per quota FSR</t>
  </si>
  <si>
    <t>ABA400</t>
  </si>
  <si>
    <t>B.II.2.a.2) Crediti v/Regione o Provincia Autonoma per mobilità attiva intraregionale</t>
  </si>
  <si>
    <t>Crediti v/Regione o Provincia Autonoma per mobilità attiva intraregionale</t>
  </si>
  <si>
    <t>Fondo Svalutazione  Crediti v/Regione o Provincia Autonoma per mobilità attiva intraregionale</t>
  </si>
  <si>
    <t>ABA410</t>
  </si>
  <si>
    <t>B.II.2.a.3) Crediti v/Regione o Provincia Autonoma per mobilità attiva extraregionale</t>
  </si>
  <si>
    <t>Crediti v/Regione o Provincia Autonoma per mobilità attiva extraregionale</t>
  </si>
  <si>
    <t>Fondo Svalutazione  Crediti v/Regione o Provincia Autonoma per mobilità attiva extraregionale</t>
  </si>
  <si>
    <t>ABA420</t>
  </si>
  <si>
    <t>B.II.2.a.4) Crediti v/Regione o Provincia Autonoma per acconto quota FSR</t>
  </si>
  <si>
    <t>Crediti v/Regione o Provincia Autonoma per acconto quota FSR</t>
  </si>
  <si>
    <t>Fondo Svalutazione  Crediti v/Regione o Provincia Autonoma per acconto quota FSR</t>
  </si>
  <si>
    <t>ABA430</t>
  </si>
  <si>
    <t>B.II.2.a.5) Crediti v/Regione o Provincia Autonoma per finanziamento sanitario aggiuntivo  corrente LEA</t>
  </si>
  <si>
    <t>Crediti v/Regione o Provincia Autonoma per finanziamento sanitario aggiuntivo corrente LEA</t>
  </si>
  <si>
    <t>Fondo Svalutazione Crediti v/Regione o Provincia Autonoma per finanziamento sanitario aggiuntivo corrente LEA</t>
  </si>
  <si>
    <t>ABA440</t>
  </si>
  <si>
    <t>B.II.2.a.6) Crediti v/Regione o Provincia Autonoma per finanziamento sanitario aggiuntivo  corrente extra LEA</t>
  </si>
  <si>
    <t>Crediti v/Regione o Provincia Autonoma per finanziamento sanitario aggiuntivo corrente extra LEA</t>
  </si>
  <si>
    <t>Fondo Svalutazione  Crediti v/Regione o Provincia Autonoma per finanziamento sanitario aggiuntivo corrente extra LEA</t>
  </si>
  <si>
    <t>ABA450</t>
  </si>
  <si>
    <t>B.II.2.a.7) Crediti v/Regione o Provincia Autonoma per spesa corrente - altro</t>
  </si>
  <si>
    <t>Crediti v/Regione o Provincia Autonoma per spesa corrente - altro</t>
  </si>
  <si>
    <t>Crediti per fatture e ricevute da emettere v/Regione o Provincia Autonoma per spesa corrente</t>
  </si>
  <si>
    <t>Note di credito da emettere v/Regione o Provincia Autonoma per spesa corrente</t>
  </si>
  <si>
    <t>Fondo Svalutazione  Crediti v/Regione o Provincia Autonoma per spesa corrente - altro</t>
  </si>
  <si>
    <t>ABA451</t>
  </si>
  <si>
    <t>B.II.2.a.8) Crediti v/Regione o Provincia Autonoma per spesa corrente - STP (ex D.Lgs. 286/98)</t>
  </si>
  <si>
    <t>Crediti v/Regione o Provincia Autonoma per spesa corrente - STP (ex D.lgs. 286/98)</t>
  </si>
  <si>
    <t>Fondo Svalutazione Crediti v/Regione o Provincia Autonoma per spesa corrente - STP (ex D.lgs. 286/98)</t>
  </si>
  <si>
    <t>ABA460</t>
  </si>
  <si>
    <t>B.II.2.a.9) Crediti v/Regione o Provincia Autonoma per ricerca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</si>
  <si>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</si>
  <si>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</si>
  <si>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</si>
  <si>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</si>
  <si>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Fondo Svalutazione Crediti v/Regione o Provincia Autonoma per ricerca</t>
  </si>
  <si>
    <t>ABA461</t>
  </si>
  <si>
    <t>B.II.2.a.10) Crediti v/Regione o Provincia Autonoma per mobilità attiva internazionale</t>
  </si>
  <si>
    <t>Crediti v/Regione o Provincia Autonoma per mobilità attiva internazionale</t>
  </si>
  <si>
    <t>Fondo Svalutazione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</si>
  <si>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</si>
  <si>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</si>
  <si>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</si>
  <si>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</si>
  <si>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Crediti v/Regione o Provincia Autonoma per finanziamenti per investimenti</t>
  </si>
  <si>
    <t>Fondo Svalutazione Crediti v/Regione o Provincia Autonoma per finanziamenti per investimenti</t>
  </si>
  <si>
    <t>ABA490</t>
  </si>
  <si>
    <t>B.II.2.b.2) Crediti v/Regione o Provincia Autonoma per incremento fondo dotazione</t>
  </si>
  <si>
    <t>Crediti v/Regione o Provincia Autonoma per incremento fondo dotazione</t>
  </si>
  <si>
    <t>Fondo Svalutazione Crediti v/Regione o Provincia Autonoma per incremento fondo dotazione</t>
  </si>
  <si>
    <t>ABA500</t>
  </si>
  <si>
    <t>B.II.2.b.3) Crediti v/Regione o Provincia Autonoma per ripiano perdite</t>
  </si>
  <si>
    <t>Crediti v/Regione o Provincia Autonoma per ripiano perdite</t>
  </si>
  <si>
    <t>Fondo Svalutazione Crediti v/Regione o Provincia Autonoma per ripiano perdite</t>
  </si>
  <si>
    <t>ABA501</t>
  </si>
  <si>
    <t>B.II.2.b.4) Crediti v/Regione o Provincia Autonoma per anticipazione ripiano disavanzo programmato dai Piani aziendali di cui all'art.1, comma 528, L. 208/2015</t>
  </si>
  <si>
    <t>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</si>
  <si>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</si>
  <si>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</si>
  <si>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Crediti v/Regione per copertura debiti al 31/12/2005</t>
  </si>
  <si>
    <t>Fondo Svalutazione Crediti v/Regione per copertura debiti al 31/12/2005</t>
  </si>
  <si>
    <t>ABA520</t>
  </si>
  <si>
    <t>B.II.2.b.6) Crediti v/Regione o Provincia Autonoma per ricostituzione risorse da investimenti  esercizi precedenti</t>
  </si>
  <si>
    <t>Crediti v/Regione o Provincia Autonoma per ricostituzione risorse da investimenti esercizi precedenti</t>
  </si>
  <si>
    <t>Fondo Svalutazione Crediti v/Regione o Provincia Autonoma per ricostituzione risorse da investimenti esercizi precedenti</t>
  </si>
  <si>
    <t>ABA521</t>
  </si>
  <si>
    <t>B.II.2.c) Crediti v/Regione o Provincia Autonoma per contributi L. 210/92</t>
  </si>
  <si>
    <t>Crediti v/Regione o Provincia Autonoma per contributi L. 210/92</t>
  </si>
  <si>
    <t>ABA522</t>
  </si>
  <si>
    <t>B.II.2.d) Crediti v/Regione o Provincia Autonoma per contributi L. 210/92 - aziende sanitarie</t>
  </si>
  <si>
    <t>Crediti v/Regione o Provincia Autonoma per contributi L. 210/92 – aziende sanitarie</t>
  </si>
  <si>
    <t>ABA530</t>
  </si>
  <si>
    <t>B.II.3) Crediti v/Comuni</t>
  </si>
  <si>
    <t>Crediti v/comuni</t>
  </si>
  <si>
    <t>Crediti per fatture e ricevute da emettere v/Comuni</t>
  </si>
  <si>
    <t>Note di credito da emettere v/Comuni</t>
  </si>
  <si>
    <t>Fondo Svalutazione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</si>
  <si>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</si>
  <si>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</si>
  <si>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</si>
  <si>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</si>
  <si>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</si>
  <si>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</si>
  <si>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Crediti v/Aziende sanitarie pubbliche della Regione - per mobilità in compensazione</t>
  </si>
  <si>
    <t>ABA570</t>
  </si>
  <si>
    <t>B.II.4.a.2) Crediti v/Aziende sanitarie pubbliche della Regione - per mobilità non in compensazione</t>
  </si>
  <si>
    <t>Crediti v/Aziende sanitarie pubbliche della Regione - per mobilità non in compensazione</t>
  </si>
  <si>
    <t>Crediti per fatture e ricevute da emettere v/Aziende sanitarie pubbliche della Regione - per mobilità non in compensazione</t>
  </si>
  <si>
    <t>Note di credito da emettere v/Aziende sanitarie pubbliche della Regione - per mobilità non in compensazione</t>
  </si>
  <si>
    <t>ABA580</t>
  </si>
  <si>
    <t>B.II.4.a.3) Crediti v/Aziende sanitarie pubbliche della Regione - per altre prestazioni</t>
  </si>
  <si>
    <t>Crediti v/Aziende sanitarie pubbliche della Regione - per altre prestazioni</t>
  </si>
  <si>
    <t>Crediti per fatture e ricevute da emettere v/Aziende sanitarie pubbliche della Regione - per altre prestazioni</t>
  </si>
  <si>
    <t>Note di credito da emettere v/Aziende sanitarie pubbliche della Regione - per altre prestazioni</t>
  </si>
  <si>
    <t>ABA590</t>
  </si>
  <si>
    <t>B.II.4.b) Acconto quota FSR da distribuire</t>
  </si>
  <si>
    <t>Acconto quota FSR da distribuire</t>
  </si>
  <si>
    <t>ABA591</t>
  </si>
  <si>
    <t>B.II.4.c) Crediti v/Aziende sanitarie pubbliche della Regione  per anticipazione ripiano disavanzo programmato dai Piani aziendali di cui all'art.1, comma 528, L. 208/2015</t>
  </si>
  <si>
    <t>Crediti v/Aziende sanitarie pubbliche della Regione per anticipazione ripiano disavanzo programmato dai Piani aziendali di cui all'art. 1, comma 528, L. 208/2015</t>
  </si>
  <si>
    <t>USO GSA</t>
  </si>
  <si>
    <t>ABA600</t>
  </si>
  <si>
    <t>B.II.4.d) Crediti v/Aziende sanitarie pubbliche Extraregione</t>
  </si>
  <si>
    <t>Crediti v/Aziende sanitarie pubbliche Extraregione</t>
  </si>
  <si>
    <t>Crediti per fatture e ricevute da emettere v/Aziende sanitarie pubbliche Extraregione</t>
  </si>
  <si>
    <t>Note di credito da emettere v/Aziende sanitarie pubbliche Extraregione</t>
  </si>
  <si>
    <t>Fondo Svalutazione Crediti v/Aziende sanitarie pubbliche Extraregione</t>
  </si>
  <si>
    <t>ABA601</t>
  </si>
  <si>
    <t>B.II.4.e) Crediti v/Aziende sanitarie pubbliche della Regione  - per Contributi da Aziende sanitarie pubbliche della regione o Prov. Aut. (extra fondo)</t>
  </si>
  <si>
    <t>Crediti v/Aziende sanitarie pubbliche della Regione - per Contributi da Aziende sanitarie pubbliche della Regione o Prov. Aut. (extra fondo)</t>
  </si>
  <si>
    <t>ABA610</t>
  </si>
  <si>
    <t>B.II.5) Crediti v/società partecipate e/o enti dipendenti della Regione</t>
  </si>
  <si>
    <t>ABA620</t>
  </si>
  <si>
    <t>B.II.5.a) Crediti v/enti regionali</t>
  </si>
  <si>
    <t>Crediti v/enti regionali</t>
  </si>
  <si>
    <t>Fondo Svalutazione Crediti v/enti regionali</t>
  </si>
  <si>
    <t>ABA630</t>
  </si>
  <si>
    <t>B.II.5.b) Crediti v/sperimentazioni gestionali</t>
  </si>
  <si>
    <t>Crediti v/sperimentazioni gestionali</t>
  </si>
  <si>
    <t>Fondo Svalutazione Crediti v/sperimentazioni gestionali</t>
  </si>
  <si>
    <t>ABA640</t>
  </si>
  <si>
    <t>B.II.5.c) Crediti v/altre partecipate</t>
  </si>
  <si>
    <t>Crediti v/altre partecipate</t>
  </si>
  <si>
    <t>Crediti per fatture e ricevute da emettere v/altre partecipate</t>
  </si>
  <si>
    <t>Note di credito da emettere v/altre partecipate</t>
  </si>
  <si>
    <t>Fondo Svalutazione Crediti v/altre partecipate</t>
  </si>
  <si>
    <t>ABA650</t>
  </si>
  <si>
    <t>B.II.6) Crediti v/Erario</t>
  </si>
  <si>
    <t>Crediti v/Erario IRES</t>
  </si>
  <si>
    <t>Crediti v/Erario IRAP</t>
  </si>
  <si>
    <t>IVA a Credito</t>
  </si>
  <si>
    <t>IVA c/acquisti - SPLIT PAYMENT ACQUISTI COMMERCIALI</t>
  </si>
  <si>
    <t>IVA a Credito per acquisti Infra CEE</t>
  </si>
  <si>
    <t>IVA a Credito per autofatture</t>
  </si>
  <si>
    <t>Imposte varie</t>
  </si>
  <si>
    <t>Fondo Svalutazione Crediti v/Erario</t>
  </si>
  <si>
    <t>ABA660</t>
  </si>
  <si>
    <t>B.II.7) Crediti v/altri</t>
  </si>
  <si>
    <t>ABA670</t>
  </si>
  <si>
    <t>B.II.7.a) Crediti v/clienti privati</t>
  </si>
  <si>
    <t>Privati paganti</t>
  </si>
  <si>
    <t>Crediti verso soggetti esteri</t>
  </si>
  <si>
    <t>Altri crediti v/clienti privati</t>
  </si>
  <si>
    <t>Crediti per fatture e ricevute da emettere v/clienti privati</t>
  </si>
  <si>
    <t>Note di credito da emettere v/clienti privati</t>
  </si>
  <si>
    <t>Fondo Svalutazione Crediti v/clienti privati</t>
  </si>
  <si>
    <t>ABA680</t>
  </si>
  <si>
    <t>B.II.7.b) Crediti v/gestioni liquidatorie</t>
  </si>
  <si>
    <t>Crediti v/gestioni liquidatorie</t>
  </si>
  <si>
    <t>Fondo Svalutazione Crediti v/gestioni liquidatorie</t>
  </si>
  <si>
    <t>ABA690</t>
  </si>
  <si>
    <t>B.II.7.c) Crediti v/altri soggetti pubblici</t>
  </si>
  <si>
    <t>Crediti verso enti previdenziali per acconti pensione</t>
  </si>
  <si>
    <t>Crediti verso altre amministrazioni pubbliche</t>
  </si>
  <si>
    <t>Crediti per fatture e ricevute da emettere v/altri soggetti pubblici</t>
  </si>
  <si>
    <t>Note di credito da emettere v/altri soggetti pubblici</t>
  </si>
  <si>
    <t>Fondo Svalutazione Crediti v/altri soggetti pubblici</t>
  </si>
  <si>
    <t>ABA700</t>
  </si>
  <si>
    <t>B.II.7.d) Crediti v/altri soggetti pubblici per ricerca</t>
  </si>
  <si>
    <t>Crediti v/altri soggetti pubblici per ricerca</t>
  </si>
  <si>
    <t>Fondo Svalutazione Crediti v/altri soggetti pubblici per ricerca</t>
  </si>
  <si>
    <t>ABA710</t>
  </si>
  <si>
    <t>B.II.7.e) Altri crediti diversi</t>
  </si>
  <si>
    <t>ABA711</t>
  </si>
  <si>
    <t>B.II.7.e.1) Altri crediti diversi</t>
  </si>
  <si>
    <t>Acconti, anticipi a personale</t>
  </si>
  <si>
    <t>Altri crediti verso personale</t>
  </si>
  <si>
    <t>Acconti a farmacie</t>
  </si>
  <si>
    <t>Acconti a fornitori</t>
  </si>
  <si>
    <t>Crediti per depositi cauzionali</t>
  </si>
  <si>
    <t>Altri crediti diversi</t>
  </si>
  <si>
    <t>Fondo Svalutazione Altri crediti diversi</t>
  </si>
  <si>
    <t>Fondo Svalutazione  Altri Crediti verso erogatori (privati accreditati e convenzionati) di prestazioni sanitarie</t>
  </si>
  <si>
    <t>ABA712</t>
  </si>
  <si>
    <t>B.II.7.e.2) Note di credito da emettere (diverse)</t>
  </si>
  <si>
    <t>Note di credito da emettere (diversi)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</si>
  <si>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</si>
  <si>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</si>
  <si>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</si>
  <si>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</si>
  <si>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Altri Crediti verso erogatori (privati accreditati e convenzionati) di prestazioni sanitarie</t>
  </si>
  <si>
    <t>ABA715</t>
  </si>
  <si>
    <t>B.II.7.f.2) Note di credito da emettere (privati accreditati e convenzionati)</t>
  </si>
  <si>
    <t>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</si>
  <si>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</si>
  <si>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</si>
  <si>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</si>
  <si>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</si>
  <si>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Partecipazioni in imprese controllate</t>
  </si>
  <si>
    <t>Partecipazioni in imprese collegate</t>
  </si>
  <si>
    <t>Partecipazioni in altre imprese</t>
  </si>
  <si>
    <t>ABA740</t>
  </si>
  <si>
    <t>B.III.2) Altri titoli che non costituiscono immobilizzazioni</t>
  </si>
  <si>
    <t>Altri titoli che non costituiscono immobilizzazioni</t>
  </si>
  <si>
    <t>ABA750</t>
  </si>
  <si>
    <t>B.IV) DISPONIBILITA' LIQUIDE</t>
  </si>
  <si>
    <t>ABA760</t>
  </si>
  <si>
    <t>B.IV.1) Cassa</t>
  </si>
  <si>
    <t>Cassa economale</t>
  </si>
  <si>
    <t>Cassa economale gestione sanita</t>
  </si>
  <si>
    <t>Cassa economale gestione delega</t>
  </si>
  <si>
    <t>Cassa prestazioni</t>
  </si>
  <si>
    <t>Cassa prestazioni CUP</t>
  </si>
  <si>
    <t>Cassa prestazioni CUP - CASSE AUTOMATICHE</t>
  </si>
  <si>
    <t>ABA770</t>
  </si>
  <si>
    <t>B.IV.2) Istituto Tesoriere</t>
  </si>
  <si>
    <t>c/c di tesoreria</t>
  </si>
  <si>
    <t>Banca C/Carta Contabile Entrata</t>
  </si>
  <si>
    <t>Banca C/Carta Contabile Uscita</t>
  </si>
  <si>
    <t>c/c di tesoreria - delega</t>
  </si>
  <si>
    <t>Interessi attivi da liquidare</t>
  </si>
  <si>
    <t>ABA780</t>
  </si>
  <si>
    <t>B.IV.3) Tesoreria Unica</t>
  </si>
  <si>
    <t>Tesoreria Unica</t>
  </si>
  <si>
    <t>ABA790</t>
  </si>
  <si>
    <t>B.IV.4) Conto corrente postale</t>
  </si>
  <si>
    <t>Conto corrente postale generale</t>
  </si>
  <si>
    <t>Conto corrente postale veterinaria</t>
  </si>
  <si>
    <t>Conto corrente postale prestazioni CUP</t>
  </si>
  <si>
    <t>Conto corrente postale delega</t>
  </si>
  <si>
    <t>Deposito affrancatrice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</si>
  <si>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</si>
  <si>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</si>
  <si>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</si>
  <si>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</si>
  <si>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</si>
  <si>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</si>
  <si>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</si>
  <si>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</si>
  <si>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</si>
  <si>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</si>
  <si>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</si>
  <si>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</si>
  <si>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</si>
  <si>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ACZ999</t>
  </si>
  <si>
    <t>C) RATEI E RISCONTI ATTIVI</t>
  </si>
  <si>
    <t>ACA000</t>
  </si>
  <si>
    <t>C.I) RATEI ATTIVI</t>
  </si>
  <si>
    <t>ACA010</t>
  </si>
  <si>
    <t>C.I.1) Ratei attivi</t>
  </si>
  <si>
    <t>Ratei attivi</t>
  </si>
  <si>
    <t>ACA020</t>
  </si>
  <si>
    <t>C.I.2) Ratei attivi v/Aziende sanitarie pubbliche della Regione</t>
  </si>
  <si>
    <t>Ratei attivi v/Aziende sanitarie pubbliche della Regione</t>
  </si>
  <si>
    <t>ACA030</t>
  </si>
  <si>
    <t>C.II) RISCONTI ATTIVI</t>
  </si>
  <si>
    <t>ACA040</t>
  </si>
  <si>
    <t>C.II.1) Risconti attivi</t>
  </si>
  <si>
    <t>Risconti attivi</t>
  </si>
  <si>
    <t>ACA050</t>
  </si>
  <si>
    <t>C.II.2) Risconti attivi v/Aziende sanitarie pubbliche della Regione</t>
  </si>
  <si>
    <t>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</si>
  <si>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</si>
  <si>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</si>
  <si>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</si>
  <si>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</si>
  <si>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</si>
  <si>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</si>
  <si>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C.O.A. CANONI DI LEASING ANCORA DA PAGARE</t>
  </si>
  <si>
    <t>ADA010</t>
  </si>
  <si>
    <t>E.II) DEPOSITI CAUZIONALI</t>
  </si>
  <si>
    <t>C.O.A. DEPOSITI CAUZIONALI</t>
  </si>
  <si>
    <t>ADA020</t>
  </si>
  <si>
    <t>E.III) BENI IN COMODATO</t>
  </si>
  <si>
    <t>C.O.A. BENI IN COMODATO</t>
  </si>
  <si>
    <t>ADA021</t>
  </si>
  <si>
    <t>E.IV) CANONI DI PROJECT FINANCING ANCORA DA PAGARE</t>
  </si>
  <si>
    <t>C.O.A. CANONI DI PROJECT FINANCING ANCORA DA PAGARE</t>
  </si>
  <si>
    <t>ADA030</t>
  </si>
  <si>
    <t>E.V) ALTRI CONTI D'ORDINE</t>
  </si>
  <si>
    <t>C.O.A. Beni di terzi presso l'Azienda</t>
  </si>
  <si>
    <t>C.O.A. Garanzie prestate (fideiussioni, avalli, altre garanzie personali e reali)</t>
  </si>
  <si>
    <t>C.O.A. Garanzie ricevute (fideiussioni, avalli, altre garanzie personali e reali)</t>
  </si>
  <si>
    <t>C.O.A. Beni in contenzioso</t>
  </si>
  <si>
    <t>C.O.A. Altri impegni assunti</t>
  </si>
  <si>
    <t>P</t>
  </si>
  <si>
    <t>Passivo</t>
  </si>
  <si>
    <t>PAZ999</t>
  </si>
  <si>
    <t>A) PATRIMONIO NETTO</t>
  </si>
  <si>
    <t>PAA000</t>
  </si>
  <si>
    <t>A.I) FONDO DI DOTAZIONE</t>
  </si>
  <si>
    <t>FONDO DI DOTAZIONE</t>
  </si>
  <si>
    <t>PAA010</t>
  </si>
  <si>
    <t>A.II) FINANZIAMENTI PER INVESTIMENTI</t>
  </si>
  <si>
    <t>PAA020</t>
  </si>
  <si>
    <t>A.II.1) Finanziamenti per beni di prima dotazione</t>
  </si>
  <si>
    <t>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</si>
  <si>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</si>
  <si>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</si>
  <si>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</si>
  <si>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</si>
  <si>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Finanziamenti da Stato per investimenti - ex art. 20 legge 67/88</t>
  </si>
  <si>
    <t>PAA050</t>
  </si>
  <si>
    <t>A.II.2.b) Finanziamenti da Stato per investimenti - ricerca</t>
  </si>
  <si>
    <t>Finanziamenti da Stato per investimenti - ricerca</t>
  </si>
  <si>
    <t>PAA060</t>
  </si>
  <si>
    <t>A.II.2.c) Finanziamenti da Stato per investimenti - altro</t>
  </si>
  <si>
    <t>Finanziamenti da Stato per investimenti - altro</t>
  </si>
  <si>
    <t>PAA070</t>
  </si>
  <si>
    <t>A.II.3) Finanziamenti da Regione per investimenti</t>
  </si>
  <si>
    <t>Contributi regionali in c/capitale indistinti</t>
  </si>
  <si>
    <t>Contributi regionali in c/capitale vincolati</t>
  </si>
  <si>
    <t>PAA080</t>
  </si>
  <si>
    <t>A.II.4) Finanziamenti da altri soggetti pubblici per investimenti</t>
  </si>
  <si>
    <t>Contributi per rimborso mutui</t>
  </si>
  <si>
    <t>Altri contributi</t>
  </si>
  <si>
    <t>PAA090</t>
  </si>
  <si>
    <t>A.II.5) Finanziamenti per investimenti da rettifica contributi in conto esercizio</t>
  </si>
  <si>
    <t>Finanziamenti per investimenti da rettifica contributi in conto esercizio</t>
  </si>
  <si>
    <t>PAA100</t>
  </si>
  <si>
    <t>A.III) RISERVE DA DONAZIONI E LASCITI VINCOLATI AD INVESTIMENTI</t>
  </si>
  <si>
    <t>RISERVE DA DONAZIONI E LASCITI VINCOLATI AD INVESTIMENTI</t>
  </si>
  <si>
    <t>PAA110</t>
  </si>
  <si>
    <t>A.IV) ALTRE RISERVE</t>
  </si>
  <si>
    <t>PAA120</t>
  </si>
  <si>
    <t>A.IV.1) Riserve da rivalutazioni</t>
  </si>
  <si>
    <t>Riserve da rivalutazioni</t>
  </si>
  <si>
    <t>PAA130</t>
  </si>
  <si>
    <t>A.IV.2) Riserve da plusvalenze da reinvestire</t>
  </si>
  <si>
    <t>Riserve da plusvalenze da reinvestire</t>
  </si>
  <si>
    <t>PAA140</t>
  </si>
  <si>
    <t>A.IV.3) Contributi da reinvestire</t>
  </si>
  <si>
    <t>Contributi da reinvestire</t>
  </si>
  <si>
    <t>PAA150</t>
  </si>
  <si>
    <t>A.IV.4) Riserve da utili di esercizio destinati ad investimenti</t>
  </si>
  <si>
    <t>Riserve da utili di esercizio destinati ad investimenti</t>
  </si>
  <si>
    <t>PAA160</t>
  </si>
  <si>
    <t>A.IV.5) Riserve diverse</t>
  </si>
  <si>
    <t>Riserve diverse</t>
  </si>
  <si>
    <t>PAA170</t>
  </si>
  <si>
    <t>A.V) CONTRIBUTI PER RIPIANO PERDITE</t>
  </si>
  <si>
    <t>PAA180</t>
  </si>
  <si>
    <t>A.V.1) Contributi per copertura debiti al 31/12/2005</t>
  </si>
  <si>
    <t>Contributi per copertura debiti al 31/12/2005</t>
  </si>
  <si>
    <t>PAA190</t>
  </si>
  <si>
    <t>A.V.2) Contributi per ricostituzione risorse da investimenti esercizi precedenti</t>
  </si>
  <si>
    <t>Contributi per ricostituzione risorse da investimenti esercizi precedenti</t>
  </si>
  <si>
    <t>PAA200</t>
  </si>
  <si>
    <t>A.V.3) Altro</t>
  </si>
  <si>
    <t>Altro</t>
  </si>
  <si>
    <t>PAA210</t>
  </si>
  <si>
    <t>A.VI) UTILI (PERDITE) PORTATI A NUOVO</t>
  </si>
  <si>
    <t>UTILI (PERDITE) PORTATI A NUOVO</t>
  </si>
  <si>
    <t>PAA220</t>
  </si>
  <si>
    <t>A.VII) UTILE (PERDITA) D'ESERCIZIO</t>
  </si>
  <si>
    <t>UTILE (PERDITA) D'ESERCIZIO</t>
  </si>
  <si>
    <t>PBZ999</t>
  </si>
  <si>
    <t>B) FONDI PER RISCHI E ONERI</t>
  </si>
  <si>
    <t>PBA000</t>
  </si>
  <si>
    <t>B.I) FONDI PER IMPOSTE, ANCHE DIFFERITE</t>
  </si>
  <si>
    <t>FONDI PER IMPOSTE, ANCHE DIFFERITE</t>
  </si>
  <si>
    <t>PBA010</t>
  </si>
  <si>
    <t>B.II) FONDI PER RISCHI</t>
  </si>
  <si>
    <t>PBA020</t>
  </si>
  <si>
    <t>B.II.1) Fondo rischi per cause civili ed oneri processuali</t>
  </si>
  <si>
    <t>Fondo rischi per cause civili ed oneri processuali</t>
  </si>
  <si>
    <t>PBA030</t>
  </si>
  <si>
    <t>B.II.2) Fondo rischi per contenzioso personale dipendente</t>
  </si>
  <si>
    <t>Fondo rischi per contenzioso personale dipendente</t>
  </si>
  <si>
    <t>PBA040</t>
  </si>
  <si>
    <t>B.II.3) Fondo rischi connessi all'acquisto di prestazioni sanitarie da privato</t>
  </si>
  <si>
    <t>Fondo rischi connessi all'acquisto di prestazioni sanitarie da privato</t>
  </si>
  <si>
    <t>PBA050</t>
  </si>
  <si>
    <t>B.II.4) Fondo rischi per copertura diretta dei rischi (autoassicurazione)</t>
  </si>
  <si>
    <t>Fondo rischi per copertura diretta dei rischi (autoassicurazione)</t>
  </si>
  <si>
    <t>PBA051</t>
  </si>
  <si>
    <t>B.II.5) Fondo rischi per franchigia assicurativa</t>
  </si>
  <si>
    <t>Fondo rischi per franchigia assicurativa</t>
  </si>
  <si>
    <t>PBA052</t>
  </si>
  <si>
    <t>B.II.6) Fondo rischi per interessi di mora</t>
  </si>
  <si>
    <t>Fondo rischi per interessi di mora</t>
  </si>
  <si>
    <t>PBA060</t>
  </si>
  <si>
    <t>B.II.7) Altri fondi rischi</t>
  </si>
  <si>
    <t>Fondo equo indennizzo</t>
  </si>
  <si>
    <t>Fondo accordi bonari</t>
  </si>
  <si>
    <t>Altri fondi rischi</t>
  </si>
  <si>
    <t>PBA070</t>
  </si>
  <si>
    <t>B.III) FONDI DA DISTRIBUIRE</t>
  </si>
  <si>
    <t>PBA080</t>
  </si>
  <si>
    <t>B.III.1) FSR indistinto da distribuire</t>
  </si>
  <si>
    <t>FSR indistinto da distribuire</t>
  </si>
  <si>
    <t>PBA090</t>
  </si>
  <si>
    <t>B.III.2) FSR vincolato da distribuire</t>
  </si>
  <si>
    <t>FSR vincolato da distribuire</t>
  </si>
  <si>
    <t>PBA100</t>
  </si>
  <si>
    <t>B.III.3) Fondo per ripiano disavanzi pregressi</t>
  </si>
  <si>
    <t>Fondo per ripiano disavanzi pregressi</t>
  </si>
  <si>
    <t>PBA110</t>
  </si>
  <si>
    <t>B.III.4) Fondo finanziamento sanitario aggiuntivo corrente LEA</t>
  </si>
  <si>
    <t>Fondo finanziamento sanitario aggiuntivo corrente LEA</t>
  </si>
  <si>
    <t>PBA120</t>
  </si>
  <si>
    <t>B.III.5) Fondo finanziamento sanitario aggiuntivo corrente extra LEA</t>
  </si>
  <si>
    <t>Fondo finanziamento sanitario aggiuntivo corrente extra LEA</t>
  </si>
  <si>
    <t>PBA130</t>
  </si>
  <si>
    <t>B.III.6) Fondo finanziamento per ricerca</t>
  </si>
  <si>
    <t>Fondo finanziamento per ricerca</t>
  </si>
  <si>
    <t>PBA140</t>
  </si>
  <si>
    <t>B.III.7) Fondo finanziamento per investimenti</t>
  </si>
  <si>
    <t>Fondo finanziamento per investimenti</t>
  </si>
  <si>
    <t>PBA141</t>
  </si>
  <si>
    <t>B.III.8) Fondo finanziamento sanitario aggiuntivo corrente (extra fondo) - Risorse aggiuntive da bilancio regionale a titolo di copertura extra LEA</t>
  </si>
  <si>
    <t>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</si>
  <si>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</si>
  <si>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</si>
  <si>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</si>
  <si>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</si>
  <si>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Quote inutilizzate contributi da Regione o Prov. Aut. per quota F.S. indistinto finalizzato</t>
  </si>
  <si>
    <t>PBA160</t>
  </si>
  <si>
    <t>B.IV.2) Quote inutilizzate contributi da Regione o Prov. Aut. per quota F.S. vincolato</t>
  </si>
  <si>
    <t>Quote inutilizzate contributi da Regione o Prov. Aut. per quota F.S. vincolato</t>
  </si>
  <si>
    <t>PBA170</t>
  </si>
  <si>
    <t>B.IV.3) Quote inutilizzate contributi vincolati da soggetti pubblici (extra fondo)</t>
  </si>
  <si>
    <t>Quote inutilizzate contributi vincolati da soggetti pubblici (extra fondo)</t>
  </si>
  <si>
    <t>PBA180</t>
  </si>
  <si>
    <t>B.IV.4) Quote inutilizzate contributi per ricerca</t>
  </si>
  <si>
    <t>Quote inutilizzate contributi per ricerca</t>
  </si>
  <si>
    <t>PBA190</t>
  </si>
  <si>
    <t>B.IV.5) Quote inutilizzate contributi vincolati da privati</t>
  </si>
  <si>
    <t>Quote inutilizzate contributi vincolati da privati - sperimentazioni</t>
  </si>
  <si>
    <t>Quote inutilizzate contributi vincolati da privati - altro</t>
  </si>
  <si>
    <t>PBA200</t>
  </si>
  <si>
    <t>B.V) ALTRI FONDI PER ONERI E SPESE</t>
  </si>
  <si>
    <t>PBA210</t>
  </si>
  <si>
    <t>B.V.1) Fondi integrativi pensione</t>
  </si>
  <si>
    <t>Fondi integrativi pensione</t>
  </si>
  <si>
    <t>PBA220</t>
  </si>
  <si>
    <t>B.V.2) Fondi rinnovi contrattuali</t>
  </si>
  <si>
    <t>PBA230</t>
  </si>
  <si>
    <t>B.V.2.a) Fondo rinnovi contrattuali personale dipendente</t>
  </si>
  <si>
    <t>Fondo rinnovi contrattuali personale dipendente</t>
  </si>
  <si>
    <t>PBA240</t>
  </si>
  <si>
    <t>B.V.2.b) Fondo rinnovi convenzioni MMG/PLS/MCA</t>
  </si>
  <si>
    <t>Fondo rinnovi convenzioni MMG/PLS/MCA</t>
  </si>
  <si>
    <t>PBA250</t>
  </si>
  <si>
    <t>B.V.2.c) Fondo rinnovi convenzioni medici Sumai</t>
  </si>
  <si>
    <t>Fondo rinnovi convenzioni medici Sumai</t>
  </si>
  <si>
    <t>PBA260</t>
  </si>
  <si>
    <t>B.V.3) Altri fondi per oneri e spese</t>
  </si>
  <si>
    <t>Fondo oneri personale in quiescienza</t>
  </si>
  <si>
    <t>Altri fondi per oneri e spese</t>
  </si>
  <si>
    <t>PBA270</t>
  </si>
  <si>
    <t>B.V.4) Altri fondi per Incentivi per funzioni tecniche Art. 113 D.Lgs. 50/2016</t>
  </si>
  <si>
    <t>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</si>
  <si>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</si>
  <si>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</si>
  <si>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</si>
  <si>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</si>
  <si>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FONDO PER PREMI OPEROSITA' MEDICI SUMAI</t>
  </si>
  <si>
    <t>PCA010</t>
  </si>
  <si>
    <t>C.II) FONDO PER TRATTAMENTO DI FINE RAPPORTO DIPENDENTI</t>
  </si>
  <si>
    <t>FONDO PER TRATTAMENTO DI FINE RAPPORTO DIPENDENTI</t>
  </si>
  <si>
    <t>PCA020</t>
  </si>
  <si>
    <t>C.III) FONDO PER TRATTAMENTO DI QUIESCENZA E SIMILI</t>
  </si>
  <si>
    <t>FONDO PER TRATTAMENTI DI QUIESCENZA E SIMILI</t>
  </si>
  <si>
    <t>PDZ999</t>
  </si>
  <si>
    <t>D) DEBITI</t>
  </si>
  <si>
    <t>PDA000</t>
  </si>
  <si>
    <t>D.I) DEBITI PER MUTUI PASSIVI</t>
  </si>
  <si>
    <t>DEBITI PER MUTUI PASSIVI</t>
  </si>
  <si>
    <t>PDA010</t>
  </si>
  <si>
    <t>D.II) DEBITI V/STATO</t>
  </si>
  <si>
    <t>PDA020</t>
  </si>
  <si>
    <t>D.II.1) Debiti v/Stato per mobilità passiva extraregionale</t>
  </si>
  <si>
    <t>Debiti v/Stato per mobilità passiva extraregionale</t>
  </si>
  <si>
    <t>PDA030</t>
  </si>
  <si>
    <t>D.II.2) Debiti v/Stato per mobilità passiva internazionale</t>
  </si>
  <si>
    <t>Debiti v/Stato per mobilità passiva internazionale</t>
  </si>
  <si>
    <t>PDA040</t>
  </si>
  <si>
    <t>D.II.3) Acconto quota FSR v/Stato</t>
  </si>
  <si>
    <t>Acconto quota FSR v/Stato</t>
  </si>
  <si>
    <t>PDA050</t>
  </si>
  <si>
    <t>D.II.4) Debiti v/Stato per restituzione finanziamenti - per ricerca</t>
  </si>
  <si>
    <t>Debiti v/Stato per restituzione finanziamenti - per ricerca</t>
  </si>
  <si>
    <t>PDA060</t>
  </si>
  <si>
    <t>D.II.5) Altri debiti v/Stato</t>
  </si>
  <si>
    <t>Acconti su contributi v/Stato</t>
  </si>
  <si>
    <t>Altri debiti v/Stato</t>
  </si>
  <si>
    <t>Debiti per fatture ricevute e da ricevere v/Stato</t>
  </si>
  <si>
    <t>Note di credito da ricevere v/Stato</t>
  </si>
  <si>
    <t>PDA070</t>
  </si>
  <si>
    <t>D.III) DEBITI V/REGIONE O PROVINCIA AUTONOMA</t>
  </si>
  <si>
    <t>PDA080</t>
  </si>
  <si>
    <t>D.III.1) Debiti v/Regione o Provincia Autonoma per finanziamenti - GSA</t>
  </si>
  <si>
    <t>Debiti v/Regione o Provincia Autonoma per finanziamenti - GSA</t>
  </si>
  <si>
    <t>PDA081</t>
  </si>
  <si>
    <t>D.III.2) Debiti v/Regione o Provincia Autonoma per finanziamenti</t>
  </si>
  <si>
    <t>Debiti v/Regione o Provincia Autonoma per finanziamenti</t>
  </si>
  <si>
    <t>PDA090</t>
  </si>
  <si>
    <t>D.III.3) Debiti v/Regione o Provincia Autonoma per mobilità passiva intraregionale</t>
  </si>
  <si>
    <t>Debiti v/Regione o Provincia Autonoma per mobilità passiva intraregionale</t>
  </si>
  <si>
    <t>PDA100</t>
  </si>
  <si>
    <t>D.III.4) Debiti v/Regione o Provincia Autonoma per mobilità passiva extraregionale</t>
  </si>
  <si>
    <t>Debiti v/Regione o Provincia Autonoma per mobilità passiva extraregionale</t>
  </si>
  <si>
    <t>PDA101</t>
  </si>
  <si>
    <t>D.III.5) Debiti v/Regione o Provincia Autonoma per mobilità passiva internazionale</t>
  </si>
  <si>
    <t>Debiti v/Regione o Provincia Autonoma per mobilità passiva internazionale</t>
  </si>
  <si>
    <t>PDA110</t>
  </si>
  <si>
    <t>D.III.6) Acconto quota FSR da Regione o Provincia Autonoma</t>
  </si>
  <si>
    <t>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</si>
  <si>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</si>
  <si>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</si>
  <si>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Acconto da Regione o Provincia Autonoma per anticipazione ripiano disavanzo programmato dai Piani aziendali di cui all'art. 1, comma 528, L. 208/2015</t>
  </si>
  <si>
    <t>PDA112</t>
  </si>
  <si>
    <t>D.III.8) Debiti v/regione o Provincia Autonoma per contributi L. 210/92</t>
  </si>
  <si>
    <t>Debiti v/Regione o Provincia Autonoma per contributi L. 210/92</t>
  </si>
  <si>
    <t>PDA120</t>
  </si>
  <si>
    <t>D.III.9) Altri debiti v/Regione o Provincia Autonoma - GSA</t>
  </si>
  <si>
    <t>Altri debiti v/Regione o Provincia Autonoma - GSA</t>
  </si>
  <si>
    <t>PDA121</t>
  </si>
  <si>
    <t>D.III.10) Altri debiti v/Regione o Provincia Autonoma</t>
  </si>
  <si>
    <t>Altri debiti v/Regione o Provincia Autonoma - vincolati a progetti europei</t>
  </si>
  <si>
    <t>Altri debiti v/Regione o Provincia Autonoma - vincolati a progetti ministeriali</t>
  </si>
  <si>
    <t>Altri debiti v/Regione o Provincia Autonoma</t>
  </si>
  <si>
    <t xml:space="preserve">Debiti per fatture ricevute e da ricevere v/Regione o Provincia Autonoma </t>
  </si>
  <si>
    <t xml:space="preserve">Note di credito da ricevere v/Regione o Provincia Autonoma </t>
  </si>
  <si>
    <t>PDA130</t>
  </si>
  <si>
    <t>D.IV) DEBITI V/COMUNI</t>
  </si>
  <si>
    <t>Acconti da comuni</t>
  </si>
  <si>
    <t>Debiti verso comuni</t>
  </si>
  <si>
    <t>Debiti per fatture ricevute e da ricevere v/Comuni</t>
  </si>
  <si>
    <t>Note di credito da ricevere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</si>
  <si>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</si>
  <si>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</si>
  <si>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</si>
  <si>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</si>
  <si>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</si>
  <si>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</si>
  <si>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Debiti v/Aziende sanitarie pubbliche della Regione - per quota FSR</t>
  </si>
  <si>
    <t>PDA170</t>
  </si>
  <si>
    <t>D.V.1.b) Debiti v/Aziende sanitarie pubbliche della Regione - per finanziamento sanitario aggiuntivo corrente LEA</t>
  </si>
  <si>
    <t>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</si>
  <si>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</si>
  <si>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</si>
  <si>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</si>
  <si>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</si>
  <si>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</si>
  <si>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Debiti v/Aziende sanitarie pubbliche della Regione - per mobilità in compensazione</t>
  </si>
  <si>
    <t>PDA200</t>
  </si>
  <si>
    <t>D.V.1.e) Debiti v/Aziende sanitarie pubbliche della Regione - per mobilità non in compensazione</t>
  </si>
  <si>
    <t>Debiti v/Aziende sanitarie pubbliche della Regione - per mobilità non in compensazione</t>
  </si>
  <si>
    <t>Debiti per fatture ricevute e da ricevere v/Aziende sanitarie pubbliche della Regione - per mobilità non in compensazione</t>
  </si>
  <si>
    <t>Note di credito da ricevere v/Aziende sanitarie pubbliche della Regione - per mobilità non in compensazione</t>
  </si>
  <si>
    <t>PDA210</t>
  </si>
  <si>
    <t>D.V.1.f) Debiti v/Aziende sanitarie pubbliche della Regione - per altre prestazioni</t>
  </si>
  <si>
    <t>Debiti verso aziende sanitarie della Regione - per altre prestazioni</t>
  </si>
  <si>
    <t>Debiti per fatture ricevute e da ricevere v/Aziende sanitarie pubbliche della Regione - per altre prestazioni</t>
  </si>
  <si>
    <t>Note di credito da ricevere v/Aziende sanitarie pubbliche della Regione - per altre prestazioni</t>
  </si>
  <si>
    <t>PDA211</t>
  </si>
  <si>
    <t>D.V.1.g) Debiti v/Aziende sanitarie pubbliche della Regione - per altre prestazioni per STP</t>
  </si>
  <si>
    <t>Debiti v/Aziende sanitarie pubbliche della Regione - altre prestazioni per STP</t>
  </si>
  <si>
    <t>PDA212</t>
  </si>
  <si>
    <t>D.V.1.h) Debiti v/Aziende sanitarie pubbliche della Regione - per Contributi da Aziende sanitarie pubbliche della Regione o Prov. Aut. (extra fondo)</t>
  </si>
  <si>
    <t>Debiti v/Aziende sanitarie pubbliche della Regione - per Contributi da Aziende sanitarie pubbliche della Regione o Prov. Aut. (extra fondo)</t>
  </si>
  <si>
    <t>PDA213</t>
  </si>
  <si>
    <t>D.V.1.i) Debiti v/Aziende sanitarie pubbliche della Regione - per contributi L. 210/92</t>
  </si>
  <si>
    <t>Debiti v/Aziende sanitarie pubbliche della Regione - per contributi L. 210/92</t>
  </si>
  <si>
    <t>PDA220</t>
  </si>
  <si>
    <t>D.V.2) Debiti v/Aziende sanitarie pubbliche Extraregione</t>
  </si>
  <si>
    <t>Debiti verso aziende sanitarie extra regionali</t>
  </si>
  <si>
    <t>Debiti per fatture ricevute e da ricevere v/Aziende sanitarie pubbliche Extraregione</t>
  </si>
  <si>
    <t>Note di credito da ricevere v/Aziende sanitarie pubbliche Extraregione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</si>
  <si>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</si>
  <si>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</si>
  <si>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</si>
  <si>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 - finanziamenti per investimenti</t>
  </si>
  <si>
    <t>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</si>
  <si>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</si>
  <si>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</si>
  <si>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</si>
  <si>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</si>
  <si>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</si>
  <si>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</si>
  <si>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</si>
  <si>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</si>
  <si>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</si>
  <si>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</si>
  <si>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</si>
  <si>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</si>
  <si>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</si>
  <si>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</si>
  <si>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</si>
  <si>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</si>
  <si>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Debiti v/enti regionali</t>
  </si>
  <si>
    <t>PDA260</t>
  </si>
  <si>
    <t>D.VI.2) Debiti v/sperimentazioni gestionali</t>
  </si>
  <si>
    <t>Debiti v/sperimentazioni gestionali</t>
  </si>
  <si>
    <t>PDA270</t>
  </si>
  <si>
    <t>D.VI.3) Debiti v/altre partecipate</t>
  </si>
  <si>
    <t>Debiti v/altre partecipate</t>
  </si>
  <si>
    <t>Debiti per fatture ricevute e da ricevere v/altre partecipate</t>
  </si>
  <si>
    <t>Note di credito da ricevere v/altre partecipate</t>
  </si>
  <si>
    <t>PDA280</t>
  </si>
  <si>
    <t>D.VII) DEBITI V/FORNITORI</t>
  </si>
  <si>
    <t>PDA290</t>
  </si>
  <si>
    <t>D.VII.1) Debiti verso erogatori (privati accreditati e convenzionati) di prestazioni sanitarie</t>
  </si>
  <si>
    <t>PDA291</t>
  </si>
  <si>
    <t>D.VII.1.a) Debiti verso erogatori (privati accreditati e convenzionati) di prestazioni sanitarie</t>
  </si>
  <si>
    <t>Debiti verso erogatori (privati accreditati e convenzionati) di prestazioni sanitarie</t>
  </si>
  <si>
    <t>Debiti per fatture ricevute e da ricevere verso erogatori (privati accreditati e convenzionati) di prestazioni sanitarie</t>
  </si>
  <si>
    <t>PDA292</t>
  </si>
  <si>
    <t>D.VII.1.b) Note di credito da ricevere (privati accreditati e convenzionati)</t>
  </si>
  <si>
    <t>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</si>
  <si>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</si>
  <si>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</si>
  <si>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</si>
  <si>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</si>
  <si>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Fornitori nazionali</t>
  </si>
  <si>
    <t>Fornitori esteri</t>
  </si>
  <si>
    <t>Assicurazioni</t>
  </si>
  <si>
    <t>Debiti vs farmacie</t>
  </si>
  <si>
    <t>Per trattenute a farmacie</t>
  </si>
  <si>
    <t>Debiti per fatture ricevute e da ricevere verso altri fornitori</t>
  </si>
  <si>
    <t>PDA302</t>
  </si>
  <si>
    <t>D.VII.2.b) note di credito da ricevere (altri fornitori)</t>
  </si>
  <si>
    <t>Note di credito da ricevere (altri fornitori)</t>
  </si>
  <si>
    <t>PDA310</t>
  </si>
  <si>
    <t>D.VIII) DEBITI V/ISTITUTO TESORIERE</t>
  </si>
  <si>
    <t>Anticipazioni</t>
  </si>
  <si>
    <t>Interessi passivi da liquidare</t>
  </si>
  <si>
    <t>PDA320</t>
  </si>
  <si>
    <t>D.IX) DEBITI TRIBUTARI</t>
  </si>
  <si>
    <t>Ritenute fiscali</t>
  </si>
  <si>
    <t>Erario c/IVA</t>
  </si>
  <si>
    <t>Iva a debito</t>
  </si>
  <si>
    <t>Iva a debito x acquisti infra CEE</t>
  </si>
  <si>
    <t>Transitorio IVA Extra UE</t>
  </si>
  <si>
    <t>Iva a debito per autofatture</t>
  </si>
  <si>
    <t>Iva a debito per split payment</t>
  </si>
  <si>
    <t>IVA SPLITPAYMENT differita</t>
  </si>
  <si>
    <t>IVA SPLITPAYMENT da Trasco locale</t>
  </si>
  <si>
    <t>Altri debiti tributari</t>
  </si>
  <si>
    <t>PDA330</t>
  </si>
  <si>
    <t>D.X) 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</si>
  <si>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</si>
  <si>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</si>
  <si>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</si>
  <si>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</si>
  <si>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</si>
  <si>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</si>
  <si>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</si>
  <si>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</si>
  <si>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</si>
  <si>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PDA340</t>
  </si>
  <si>
    <t>D.XI) DEBITI V/ALTRI</t>
  </si>
  <si>
    <t>PDA350</t>
  </si>
  <si>
    <t>D.XI.1) Debiti v/altri finanziatori</t>
  </si>
  <si>
    <t>Debiti v/altri finanziatori</t>
  </si>
  <si>
    <t>PDA360</t>
  </si>
  <si>
    <t>D.XI.2) Debiti v/dipendenti</t>
  </si>
  <si>
    <t>Debiti verso personale dipendente</t>
  </si>
  <si>
    <t>Debiti CCNL da liquidare</t>
  </si>
  <si>
    <t>PDA370</t>
  </si>
  <si>
    <t>D.XI.3) Debiti v/gestioni liquidatorie</t>
  </si>
  <si>
    <t>Debiti vs gestione stralcio 1</t>
  </si>
  <si>
    <t>Debiti vs gestione stralcio 2</t>
  </si>
  <si>
    <t>PDA380</t>
  </si>
  <si>
    <t>D.XI.4) 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</si>
  <si>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</si>
  <si>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</si>
  <si>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</si>
  <si>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</si>
  <si>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v/personale convenzionato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</si>
  <si>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</si>
  <si>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</si>
  <si>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</si>
  <si>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</si>
  <si>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</si>
  <si>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v/organi direttivi e istituzionali</t>
  </si>
  <si>
    <t>Debiti verso organi direttivi e istituzionali</t>
  </si>
  <si>
    <t>Debiti per quota integrativa organi direttivi e istituzionali da liquidare</t>
  </si>
  <si>
    <t>Debiti vs altri enti pubblici</t>
  </si>
  <si>
    <t>Depositi cauzionali v/organi direttivi e istituzionali</t>
  </si>
  <si>
    <t>Altri debiti</t>
  </si>
  <si>
    <t>Acconti su contributi</t>
  </si>
  <si>
    <t>Altri debiti - altro</t>
  </si>
  <si>
    <t>Debiti per fatture ricevute e da ricevere</t>
  </si>
  <si>
    <t>Note di credito da ricevere</t>
  </si>
  <si>
    <t>PEZ999</t>
  </si>
  <si>
    <t>E) RATEI E RISCONTI PASSIVI</t>
  </si>
  <si>
    <t>PEA000</t>
  </si>
  <si>
    <t>E.I) RATEI PASSIVI</t>
  </si>
  <si>
    <t>PEA010</t>
  </si>
  <si>
    <t>E.I.1) Ratei passivi</t>
  </si>
  <si>
    <t>Ratei passivi</t>
  </si>
  <si>
    <t>PEA020</t>
  </si>
  <si>
    <t>E.I.2) Ratei passivi v/Aziende sanitarie pubbliche della Regione</t>
  </si>
  <si>
    <t>Ratei passivi v/Aziende sanitarie pubbliche della Regione</t>
  </si>
  <si>
    <t>PEA030</t>
  </si>
  <si>
    <t>E.II) RISCONTI PASSIVI</t>
  </si>
  <si>
    <t>PEA040</t>
  </si>
  <si>
    <t>E.II.1) Risconti passivi</t>
  </si>
  <si>
    <t>Risconti passivi</t>
  </si>
  <si>
    <t>PEA050</t>
  </si>
  <si>
    <t>E.II.2) Risconti passivi v/Aziende sanitarie pubbliche della Regione</t>
  </si>
  <si>
    <t>Risconti passivi v/Aziende sanitarie pubbliche della Regione</t>
  </si>
  <si>
    <t>PEA060</t>
  </si>
  <si>
    <t>E.II.3) Risconti passivi - in attuazione dell'art. 79, comma 1 sexies lettera c), del D.L. 112/2008, convertito con legge 133/2008 e della legge 23 dicembre 2009 n. 191</t>
  </si>
  <si>
    <t>Risconti passivi - in attuazione dell'art.79, comma 1 sexies lettera c), del D.L. 112/2008, convertito con legge 133/2008 e della legge 23 dicembre 2009 n. 191.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</si>
  <si>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</si>
  <si>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</si>
  <si>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</si>
  <si>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</si>
  <si>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</si>
  <si>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</si>
  <si>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C.O.P. CANONI DI LEASING ANCORA DA PAGARE</t>
  </si>
  <si>
    <t>PFA010</t>
  </si>
  <si>
    <t>G.II) DEPOSITI CAUZIONALI</t>
  </si>
  <si>
    <t>C.O.P. DEPOSITI CAUZIONALI</t>
  </si>
  <si>
    <t>PFA020</t>
  </si>
  <si>
    <t>G.III) BENI IN COMODATO</t>
  </si>
  <si>
    <t>C.O.P. BENI IN COMODATO</t>
  </si>
  <si>
    <t>PFA021</t>
  </si>
  <si>
    <t>G.IV) CANONI DI PROJECT FINANCING ANCORA DA PAGARE</t>
  </si>
  <si>
    <t>C.O.P. CANONI DI PROJECT FINANCING ANCORA DA PAGARE</t>
  </si>
  <si>
    <t>PFA030</t>
  </si>
  <si>
    <t>G.V) ALTRI CONTI D'ORDINE</t>
  </si>
  <si>
    <t>C.O.P. Beni di terzi presso l'Azienda</t>
  </si>
  <si>
    <t>C.O.P. Garanzie prestate (fideiussioni, avalli, altre garanzie personali e reali)</t>
  </si>
  <si>
    <t>C.O.P. Garanzie ricevute (fideiussioni, avalli, altre garanzie personali e reali)</t>
  </si>
  <si>
    <t>C.O.P. Beni in contenzioso</t>
  </si>
  <si>
    <t>C.O.P. Altri impegni assunti</t>
  </si>
  <si>
    <t>(Centesimo di euro)</t>
  </si>
  <si>
    <t>IMPORTO
2022</t>
  </si>
  <si>
    <t>A.I.3.a) Diritti di brevetto e diritti di utilizzazione delle opere d'ingegno - derivanti dall'attività di ricerca</t>
  </si>
  <si>
    <t>A.II)IMMOBILIZZAZIONI MATERIALI</t>
  </si>
  <si>
    <t>A.III)IMMOBILIZZAZIONI FINANZIARIE</t>
  </si>
  <si>
    <t xml:space="preserve">B.II) CREDITI </t>
  </si>
  <si>
    <t>B.II.1.h) Crediti v/Stato per spesa corrente per STP (ex D.lgs. 286/98)</t>
  </si>
  <si>
    <t xml:space="preserve">B.II.1.j.3) Crediti v/Stato per ricerca - altre Amministrazioni centrali </t>
  </si>
  <si>
    <t>RR</t>
  </si>
  <si>
    <t>B.II.2.a.5) Crediti v/Regione o Provincia Autonoma per finanziamento sanitario aggiuntivo corrente LEA</t>
  </si>
  <si>
    <t>B.II.2.a.6) Crediti v/Regione o Provincia Autonoma per finanziamento sanitario aggiuntivo corrente extra LEA</t>
  </si>
  <si>
    <t>B.II.2.a.8) Crediti v/Regione o Provincia Autonoma per spesa corrente - STP (ex D.lgs. 286/98)</t>
  </si>
  <si>
    <t>B.II.2.b.4) Crediti v/Regione o Provincia Autonoma per anticipazione ripiano disavanzo programmato dai Piani aziendali di cui all'art. 1, comma 528, L. 208/2015</t>
  </si>
  <si>
    <t>B.II.2.b.6) Crediti v/Regione o Provincia Autonoma per ricostituzione risorse da investimenti esercizi precedenti</t>
  </si>
  <si>
    <t>B.II.2.c)  Crediti v/Regione o Provincia Autonoma per contributi L. 210/92</t>
  </si>
  <si>
    <t>B.II.2.d) Crediti v/Regione o Provincia Autonoma per contributi L. 210/92 – aziende sanitarie</t>
  </si>
  <si>
    <t>B.II.4.c) Crediti v/Aziende sanitarie pubbliche della Regione per anticipazione ripiano disavanzo programmato dai Piani aziendali di cui all'art. 1, comma 528, L. 208/2015</t>
  </si>
  <si>
    <t xml:space="preserve">B.II.4.e)  Crediti v/Aziende sanitarie pubbliche della Regione - per Contributi da Aziende sanitarie pubbliche della Regione o Prov. Aut. (extra fondo) </t>
  </si>
  <si>
    <t xml:space="preserve">B.II.7.e.1) Altri Crediti  diversi </t>
  </si>
  <si>
    <t>B.II.7.f.2) Note di credito da emettere  (privati accreditati e convenzionati)</t>
  </si>
  <si>
    <t>B.IV.1) Quote inutilizzate contributi da Regione o Prov. Aut. per quota F.S. indistinto finalizzato</t>
  </si>
  <si>
    <t xml:space="preserve">B.V.2.a) Fondo rinnovi contrattuali personale dipendente </t>
  </si>
  <si>
    <t>B.V.4) Altri Fondi incentivi funzioni tecniche Art. 113 D.Lgs 50/2016</t>
  </si>
  <si>
    <t>C.III) FONDO PER TRATTAMENTI DI QUIESCENZA E SIMILI</t>
  </si>
  <si>
    <t xml:space="preserve">D.III.8) Debiti v/Regione o Provincia Autonoma per contributi L. 210/92 </t>
  </si>
  <si>
    <t>D.III.9) Altri debiti v/Regione o Provincia Autonoma – GSA</t>
  </si>
  <si>
    <t>D.V.1.g) Debiti v/Aziende sanitarie pubbliche della Regione - altre prestazioni per STP</t>
  </si>
  <si>
    <t xml:space="preserve">D.V.1.h)  Debiti v/Aziende sanitarie pubbliche della Regione - per Contributi da Aziende sanitarie pubbliche della Regione o Prov. Aut. (extra fondo) </t>
  </si>
  <si>
    <t xml:space="preserve">D.V.1.i) Debiti v/Aziende sanitarie pubbliche della Regione - per contributi L. 210/92 </t>
  </si>
  <si>
    <t xml:space="preserve">D.V.2) Debiti v/Aziende sanitarie pubbliche Extraregione </t>
  </si>
  <si>
    <t>D.V.3.a) Debiti v/Aziende sanitarie pubbliche della Regione per versamenti c/patrimonio netto - finanziamenti per investimenti</t>
  </si>
  <si>
    <t xml:space="preserve">D.VII.1) Debiti verso erogatori (privati accreditati e convenzionati) di prestazioni sanitarie </t>
  </si>
  <si>
    <t xml:space="preserve">D.VII.1.a) Debiti verso erogatori (privati accreditati e convenzionati) di prestazioni sanitarie </t>
  </si>
  <si>
    <t>D.VII.2.b) Note di credito da ricevere (altri fornitori)</t>
  </si>
  <si>
    <t>E.II.3) Risconti passivi - in attuazione dell’art.79, comma 1 sexies lettera c), del D.L. 112/2008, convertito con legge 133/2008 e della legge 23 dicembre 2009 n. 191</t>
  </si>
  <si>
    <t>SEGNO NEGATIVO</t>
  </si>
  <si>
    <t>SEGNO</t>
  </si>
  <si>
    <t>SCHEMA DI RENDICONTO FINANZIARIO</t>
  </si>
  <si>
    <t>ANNO 2023</t>
  </si>
  <si>
    <t>ANNO 2022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</si>
  <si>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</si>
  <si>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</si>
  <si>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</si>
  <si>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</si>
  <si>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</si>
  <si>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</si>
  <si>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</si>
  <si>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</si>
  <si>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</si>
  <si>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</si>
  <si>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</si>
  <si>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</si>
  <si>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</si>
  <si>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</si>
  <si>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</si>
  <si>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</si>
  <si>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</si>
  <si>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</si>
  <si>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</si>
  <si>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</si>
  <si>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</si>
  <si>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</si>
  <si>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</si>
  <si>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</si>
  <si>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</si>
  <si>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</si>
  <si>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</si>
  <si>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</si>
  <si>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</si>
  <si>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</si>
  <si>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</si>
  <si>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</si>
  <si>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</si>
  <si>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</si>
  <si>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</si>
  <si>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</si>
  <si>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</si>
  <si>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</si>
  <si>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</si>
  <si>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</si>
  <si>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</si>
  <si>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</si>
  <si>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</si>
  <si>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</si>
  <si>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</si>
  <si>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</si>
  <si>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</si>
  <si>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</si>
  <si>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</si>
  <si>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</si>
  <si>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</si>
  <si>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</si>
  <si>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</si>
  <si>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</si>
  <si>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</si>
  <si>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</si>
  <si>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</si>
  <si>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</si>
  <si>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</si>
  <si>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COMPILARE MANUALMENTE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</si>
  <si>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</si>
  <si>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</si>
  <si>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</si>
  <si>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</si>
  <si>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</si>
  <si>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</si>
  <si>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</si>
  <si>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</si>
  <si>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</si>
  <si>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</si>
  <si>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</si>
  <si>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</si>
  <si>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</si>
  <si>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</si>
  <si>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</si>
  <si>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</si>
  <si>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</si>
  <si>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</si>
  <si>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</si>
  <si>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</si>
  <si>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</si>
  <si>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</si>
  <si>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</si>
  <si>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</si>
  <si>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</si>
  <si>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</si>
  <si>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</si>
  <si>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</si>
  <si>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</si>
  <si>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</si>
  <si>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</si>
  <si>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</si>
  <si>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</si>
  <si>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</si>
  <si>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</si>
  <si>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</si>
  <si>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Totale = - SP A) Immobilizzazioni - Ammortamenti - svalutazioni + Utilizzi fondo svalutazioni + Fornitori x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</si>
  <si>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</si>
  <si>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</si>
  <si>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</si>
  <si>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</si>
  <si>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</si>
  <si>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</si>
  <si>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</si>
  <si>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</si>
  <si>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</si>
  <si>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</si>
  <si>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</si>
  <si>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</si>
  <si>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</si>
  <si>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</si>
  <si>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</si>
  <si>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</si>
  <si>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</si>
  <si>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</si>
  <si>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STATO PATRIMONIALE
Attivo</t>
  </si>
  <si>
    <t>Importi: Unità di Euro</t>
  </si>
  <si>
    <t>Anno 2023</t>
  </si>
  <si>
    <t>Anno 2022</t>
  </si>
  <si>
    <t>IMMOBILIZZAZIONI</t>
  </si>
  <si>
    <t>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</si>
  <si>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</si>
  <si>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</si>
  <si>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</si>
  <si>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</si>
  <si>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</si>
  <si>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5)</t>
  </si>
  <si>
    <t>II</t>
  </si>
  <si>
    <t>Immobilizzazioni materiali</t>
  </si>
  <si>
    <t>Terreni</t>
  </si>
  <si>
    <t>a)</t>
  </si>
  <si>
    <t>b)</t>
  </si>
  <si>
    <t>Fabbricati</t>
  </si>
  <si>
    <t>6)</t>
  </si>
  <si>
    <t>7)</t>
  </si>
  <si>
    <t>8)</t>
  </si>
  <si>
    <t>9)</t>
  </si>
  <si>
    <t>Entro 12 mesi</t>
  </si>
  <si>
    <t>Oltre 12 mesi</t>
  </si>
  <si>
    <t>III</t>
  </si>
  <si>
    <t>Immobilizzazioni finanziarie (con separata indicazione, per ciascuna voce dei crediti, degli importi esigibili entro l'esercizio successivo)</t>
  </si>
  <si>
    <t>Crediti finanziari</t>
  </si>
  <si>
    <t>c)</t>
  </si>
  <si>
    <t>d)</t>
  </si>
  <si>
    <t>Crediti finanziari v/altri</t>
  </si>
  <si>
    <t>Titoli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</si>
  <si>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</si>
  <si>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</si>
  <si>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</si>
  <si>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</si>
  <si>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</si>
  <si>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</si>
  <si>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</si>
  <si>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</si>
  <si>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</si>
  <si>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</si>
  <si>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</si>
  <si>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</si>
  <si>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</si>
  <si>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</si>
  <si>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</si>
  <si>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</si>
  <si>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</si>
  <si>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</si>
  <si>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</si>
  <si>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</si>
  <si>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</si>
  <si>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</si>
  <si>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</si>
  <si>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</si>
  <si>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</si>
  <si>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</si>
  <si>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</si>
  <si>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</si>
  <si>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</si>
  <si>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</si>
  <si>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</si>
  <si>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</si>
  <si>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</si>
  <si>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</si>
  <si>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</si>
  <si>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</si>
  <si>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</si>
  <si>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</si>
  <si>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</si>
  <si>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</si>
  <si>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IV</t>
  </si>
  <si>
    <t>Disponibilità liquide</t>
  </si>
  <si>
    <t>Cassa</t>
  </si>
  <si>
    <t>Istituto Tesoriere</t>
  </si>
  <si>
    <t>Conto corrente postale</t>
  </si>
  <si>
    <t>Totale B)</t>
  </si>
  <si>
    <t>RATEI E 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</si>
  <si>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</si>
  <si>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</si>
  <si>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</si>
  <si>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</si>
  <si>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</si>
  <si>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</si>
  <si>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</si>
  <si>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</si>
  <si>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</si>
  <si>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</si>
  <si>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</si>
  <si>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</si>
  <si>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</si>
  <si>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</si>
  <si>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da Stato per investimenti</t>
  </si>
  <si>
    <t xml:space="preserve">a) 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</si>
  <si>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</si>
  <si>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</si>
  <si>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</si>
  <si>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</si>
  <si>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</si>
  <si>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Riserve da donazioni e lasciti vincolati ad investimenti</t>
  </si>
  <si>
    <t>Altre riserve</t>
  </si>
  <si>
    <t>V</t>
  </si>
  <si>
    <t xml:space="preserve">Contributi per ripiani perdite </t>
  </si>
  <si>
    <t>VI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</si>
  <si>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</si>
  <si>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</si>
  <si>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</si>
  <si>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</si>
  <si>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</si>
  <si>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</si>
  <si>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</si>
  <si>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</si>
  <si>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</si>
  <si>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</si>
  <si>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</si>
  <si>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</si>
  <si>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</si>
  <si>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</si>
  <si>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</si>
  <si>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</si>
  <si>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</si>
  <si>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</si>
  <si>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</si>
  <si>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</si>
  <si>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</si>
  <si>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</si>
  <si>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</si>
  <si>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</si>
  <si>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</si>
  <si>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</si>
  <si>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</si>
  <si>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</si>
  <si>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</si>
  <si>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</si>
  <si>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</si>
  <si>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</si>
  <si>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</si>
  <si>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</si>
  <si>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</si>
  <si>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</si>
  <si>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</si>
  <si>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Totale E)</t>
  </si>
  <si>
    <t>TOTALE PASSIVO E PATRIMONIO NETTO (A+B+C+D+E)</t>
  </si>
  <si>
    <t>F)</t>
  </si>
  <si>
    <t>Totale F)</t>
  </si>
  <si>
    <t>Differenza</t>
  </si>
  <si>
    <t>CONFRONTO CONTO ECONOMICO</t>
  </si>
  <si>
    <t>CONSUNTIVO 2023</t>
  </si>
  <si>
    <t>CONSUNTIVO 2022</t>
  </si>
  <si>
    <t>VARIAZIONE ASSOLUTA 2023-2022</t>
  </si>
  <si>
    <t>VARIAZIONE % 2023-2022</t>
  </si>
  <si>
    <t>IMPOSTE</t>
  </si>
  <si>
    <t>SALDO GESTIONE ORDINARIA</t>
  </si>
  <si>
    <t>GESTIONE FINANZIARIA</t>
  </si>
  <si>
    <t>GESTIONE STRAORDINARIA</t>
  </si>
  <si>
    <t>RISULTATO D'ESERCIZIO</t>
  </si>
  <si>
    <t>CONFRONTO STATO PATRIMONIALE</t>
  </si>
  <si>
    <t>RIMANENZE</t>
  </si>
  <si>
    <t>CREDITI</t>
  </si>
  <si>
    <t>DISPONIBILITA' LIQUIDE</t>
  </si>
  <si>
    <t>RATEI E RISCONTI</t>
  </si>
  <si>
    <t>TOTALE ATTIVO</t>
  </si>
  <si>
    <t>FONDI PER RISCHI ED ONERI</t>
  </si>
  <si>
    <t>DEBITI</t>
  </si>
  <si>
    <t>TOTALE PASSIVO</t>
  </si>
  <si>
    <t xml:space="preserve">RATEI E RISCONTI PASSIVI </t>
  </si>
  <si>
    <t>Aggiunto 1€ per quadratura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</si>
</sst>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.0\ _€_-;\-* #,##0.0\ _€_-;_-* &quot;-&quot;??\ _€_-;_-@_-"/>
    <numFmt numFmtId="177" formatCode="_-* #,##0_-;\-* #,##0_-;_-* &quot;-&quot;??_-;_-@_-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16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9.5"/>
      <color rgb="FF000000"/>
      <name val="Gadugi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20" fillId="4" borderId="38" applyNumberFormat="0" applyAlignment="0" applyProtection="0"/>
    <xf numFmtId="0" fontId="21" fillId="0" borderId="39" applyNumberFormat="0" applyFill="0" applyAlignment="0" applyProtection="0"/>
    <xf numFmtId="0" fontId="22" fillId="13" borderId="40" applyNumberFormat="0" applyAlignment="0" applyProtection="0"/>
    <xf numFmtId="0" fontId="23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5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0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6" borderId="41" applyNumberFormat="0" applyAlignment="0" applyProtection="0"/>
    <xf numFmtId="0" fontId="29" fillId="8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8" borderId="43">
      <alignment vertical="center"/>
    </xf>
    <xf numFmtId="49" fontId="7" fillId="19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0" borderId="0" applyNumberFormat="0" applyBorder="0" applyAlignment="0" applyProtection="0"/>
    <xf numFmtId="0" fontId="39" fillId="21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7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6" fillId="0" borderId="0"/>
    <xf numFmtId="166" fontId="84" fillId="0" borderId="0"/>
  </cellStyleXfs>
  <cellXfs count="78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1" fillId="0" borderId="0" xfId="4" applyFont="1" applyAlignment="1">
      <alignment vertical="center"/>
    </xf>
    <xf numFmtId="0" fontId="41" fillId="22" borderId="0" xfId="4" applyFont="1" applyFill="1" applyAlignment="1">
      <alignment vertical="center"/>
    </xf>
    <xf numFmtId="0" fontId="46" fillId="23" borderId="0" xfId="4" applyFont="1" applyFill="1" applyAlignment="1">
      <alignment vertical="center"/>
    </xf>
    <xf numFmtId="0" fontId="44" fillId="22" borderId="0" xfId="4" applyFont="1" applyFill="1" applyAlignment="1">
      <alignment vertical="center"/>
    </xf>
    <xf numFmtId="0" fontId="44" fillId="22" borderId="0" xfId="4" applyFont="1" applyFill="1" applyAlignment="1">
      <alignment horizontal="center" vertical="center"/>
    </xf>
    <xf numFmtId="0" fontId="44" fillId="0" borderId="0" xfId="4" applyFont="1" applyAlignment="1">
      <alignment horizontal="center" vertical="center"/>
    </xf>
    <xf numFmtId="0" fontId="40" fillId="22" borderId="0" xfId="4" applyFont="1" applyFill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23" borderId="0" xfId="4" applyFont="1" applyFill="1" applyAlignment="1">
      <alignment vertical="center" wrapText="1"/>
    </xf>
    <xf numFmtId="0" fontId="47" fillId="0" borderId="23" xfId="5" applyFont="1" applyBorder="1" applyAlignment="1">
      <alignment horizontal="center" vertical="center" wrapText="1"/>
    </xf>
    <xf numFmtId="0" fontId="47" fillId="23" borderId="0" xfId="5" applyFont="1" applyFill="1" applyAlignment="1">
      <alignment vertical="center" wrapText="1"/>
    </xf>
    <xf numFmtId="0" fontId="47" fillId="23" borderId="0" xfId="5" applyFont="1" applyFill="1" applyAlignment="1">
      <alignment vertical="center"/>
    </xf>
    <xf numFmtId="0" fontId="49" fillId="0" borderId="0" xfId="4" applyFont="1" applyAlignment="1">
      <alignment vertical="center" wrapText="1"/>
    </xf>
    <xf numFmtId="0" fontId="47" fillId="0" borderId="37" xfId="5" applyFont="1" applyBorder="1" applyAlignment="1">
      <alignment horizontal="center" vertical="center" wrapText="1"/>
    </xf>
    <xf numFmtId="0" fontId="47" fillId="0" borderId="37" xfId="5" applyFont="1" applyBorder="1" applyAlignment="1">
      <alignment horizontal="left" vertical="center" wrapText="1"/>
    </xf>
    <xf numFmtId="164" fontId="50" fillId="0" borderId="35" xfId="115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0" fontId="53" fillId="0" borderId="37" xfId="5" applyFont="1" applyBorder="1" applyAlignment="1">
      <alignment horizontal="center" vertical="center" wrapText="1"/>
    </xf>
    <xf numFmtId="0" fontId="53" fillId="0" borderId="37" xfId="5" applyFont="1" applyBorder="1" applyAlignment="1">
      <alignment horizontal="left" vertical="center" wrapText="1"/>
    </xf>
    <xf numFmtId="0" fontId="52" fillId="0" borderId="37" xfId="5" applyFont="1" applyBorder="1" applyAlignment="1">
      <alignment horizontal="center" vertical="center" wrapText="1"/>
    </xf>
    <xf numFmtId="0" fontId="52" fillId="0" borderId="37" xfId="5" applyFont="1" applyBorder="1" applyAlignment="1">
      <alignment horizontal="left" vertical="center" wrapText="1"/>
    </xf>
    <xf numFmtId="0" fontId="44" fillId="0" borderId="37" xfId="5" applyFont="1" applyBorder="1" applyAlignment="1">
      <alignment horizontal="center" vertical="center" wrapText="1"/>
    </xf>
    <xf numFmtId="0" fontId="44" fillId="0" borderId="37" xfId="5" applyFont="1" applyBorder="1" applyAlignment="1">
      <alignment horizontal="left" vertical="center" wrapText="1"/>
    </xf>
    <xf numFmtId="0" fontId="44" fillId="23" borderId="37" xfId="5" applyFont="1" applyFill="1" applyBorder="1" applyAlignment="1">
      <alignment horizontal="center" vertical="center" wrapText="1"/>
    </xf>
    <xf numFmtId="0" fontId="44" fillId="23" borderId="37" xfId="5" applyFont="1" applyFill="1" applyBorder="1" applyAlignment="1">
      <alignment horizontal="left" vertical="center" wrapText="1"/>
    </xf>
    <xf numFmtId="164" fontId="50" fillId="0" borderId="35" xfId="115" applyFont="1" applyFill="1" applyBorder="1" applyAlignment="1">
      <alignment horizontal="right" vertical="center" wrapText="1"/>
    </xf>
    <xf numFmtId="0" fontId="51" fillId="0" borderId="0" xfId="4" applyFont="1" applyAlignment="1">
      <alignment vertical="center" wrapText="1"/>
    </xf>
    <xf numFmtId="0" fontId="52" fillId="23" borderId="37" xfId="5" applyFont="1" applyFill="1" applyBorder="1" applyAlignment="1">
      <alignment horizontal="center" vertical="center" wrapText="1"/>
    </xf>
    <xf numFmtId="0" fontId="52" fillId="23" borderId="37" xfId="5" applyFont="1" applyFill="1" applyBorder="1" applyAlignment="1">
      <alignment horizontal="left" vertical="center" wrapText="1"/>
    </xf>
    <xf numFmtId="0" fontId="52" fillId="23" borderId="53" xfId="5" applyFont="1" applyFill="1" applyBorder="1" applyAlignment="1">
      <alignment horizontal="left" vertical="center" wrapText="1"/>
    </xf>
    <xf numFmtId="0" fontId="44" fillId="23" borderId="0" xfId="5" applyFont="1" applyFill="1" applyAlignment="1">
      <alignment vertical="center"/>
    </xf>
    <xf numFmtId="0" fontId="44" fillId="23" borderId="0" xfId="4" applyFont="1" applyFill="1" applyAlignment="1">
      <alignment horizontal="center" vertical="center"/>
    </xf>
    <xf numFmtId="0" fontId="44" fillId="23" borderId="0" xfId="4" applyFont="1" applyFill="1" applyAlignment="1">
      <alignment vertical="center"/>
    </xf>
    <xf numFmtId="0" fontId="41" fillId="23" borderId="0" xfId="4" applyFont="1" applyFill="1" applyAlignment="1">
      <alignment vertical="center"/>
    </xf>
    <xf numFmtId="0" fontId="41" fillId="22" borderId="0" xfId="4" applyFont="1" applyFill="1" applyAlignment="1">
      <alignment horizontal="center" vertical="center"/>
    </xf>
    <xf numFmtId="0" fontId="44" fillId="0" borderId="0" xfId="5" applyFont="1" applyAlignment="1">
      <alignment horizontal="center" vertical="center"/>
    </xf>
    <xf numFmtId="0" fontId="44" fillId="0" borderId="0" xfId="5" applyFont="1" applyAlignment="1">
      <alignment vertical="center"/>
    </xf>
    <xf numFmtId="0" fontId="44" fillId="0" borderId="0" xfId="4" applyFont="1" applyAlignment="1">
      <alignment vertical="center"/>
    </xf>
    <xf numFmtId="164" fontId="50" fillId="3" borderId="35" xfId="115" applyFont="1" applyFill="1" applyBorder="1" applyAlignment="1">
      <alignment horizontal="right" vertical="center" wrapText="1"/>
    </xf>
    <xf numFmtId="0" fontId="53" fillId="3" borderId="37" xfId="5" applyFont="1" applyFill="1" applyBorder="1" applyAlignment="1">
      <alignment horizontal="center" vertical="center" wrapText="1"/>
    </xf>
    <xf numFmtId="0" fontId="53" fillId="3" borderId="37" xfId="5" applyFont="1" applyFill="1" applyBorder="1" applyAlignment="1">
      <alignment horizontal="left" vertical="center" wrapText="1"/>
    </xf>
    <xf numFmtId="0" fontId="48" fillId="24" borderId="50" xfId="5" applyFont="1" applyFill="1" applyBorder="1" applyAlignment="1">
      <alignment horizontal="center" vertical="center" wrapText="1"/>
    </xf>
    <xf numFmtId="0" fontId="49" fillId="24" borderId="50" xfId="5" applyFont="1" applyFill="1" applyBorder="1" applyAlignment="1">
      <alignment vertical="center" wrapText="1"/>
    </xf>
    <xf numFmtId="164" fontId="50" fillId="24" borderId="51" xfId="115" applyFont="1" applyFill="1" applyBorder="1" applyAlignment="1">
      <alignment horizontal="right" vertical="center" wrapText="1"/>
    </xf>
    <xf numFmtId="0" fontId="47" fillId="25" borderId="37" xfId="5" applyFont="1" applyFill="1" applyBorder="1" applyAlignment="1">
      <alignment horizontal="center" vertical="center" wrapText="1"/>
    </xf>
    <xf numFmtId="0" fontId="47" fillId="25" borderId="37" xfId="5" applyFont="1" applyFill="1" applyBorder="1" applyAlignment="1">
      <alignment horizontal="left" vertical="center" wrapText="1"/>
    </xf>
    <xf numFmtId="164" fontId="50" fillId="25" borderId="35" xfId="115" applyFont="1" applyFill="1" applyBorder="1" applyAlignment="1">
      <alignment horizontal="right" vertical="center" wrapText="1"/>
    </xf>
    <xf numFmtId="0" fontId="47" fillId="26" borderId="37" xfId="5" applyFont="1" applyFill="1" applyBorder="1" applyAlignment="1">
      <alignment horizontal="center" vertical="center" wrapText="1"/>
    </xf>
    <xf numFmtId="0" fontId="47" fillId="26" borderId="37" xfId="5" applyFont="1" applyFill="1" applyBorder="1" applyAlignment="1">
      <alignment horizontal="left" vertical="center" wrapText="1"/>
    </xf>
    <xf numFmtId="164" fontId="50" fillId="26" borderId="35" xfId="115" applyFont="1" applyFill="1" applyBorder="1" applyAlignment="1">
      <alignment horizontal="right" vertical="center" wrapText="1"/>
    </xf>
    <xf numFmtId="0" fontId="52" fillId="27" borderId="37" xfId="5" applyFont="1" applyFill="1" applyBorder="1" applyAlignment="1">
      <alignment horizontal="center" vertical="center" wrapText="1"/>
    </xf>
    <xf numFmtId="0" fontId="52" fillId="27" borderId="37" xfId="5" applyFont="1" applyFill="1" applyBorder="1" applyAlignment="1">
      <alignment horizontal="left" vertical="center" wrapText="1"/>
    </xf>
    <xf numFmtId="164" fontId="50" fillId="27" borderId="35" xfId="115" applyFont="1" applyFill="1" applyBorder="1" applyAlignment="1">
      <alignment horizontal="right" vertical="center" wrapText="1"/>
    </xf>
    <xf numFmtId="0" fontId="44" fillId="28" borderId="37" xfId="5" applyFont="1" applyFill="1" applyBorder="1" applyAlignment="1">
      <alignment horizontal="center" vertical="center" wrapText="1"/>
    </xf>
    <xf numFmtId="0" fontId="44" fillId="28" borderId="37" xfId="5" applyFont="1" applyFill="1" applyBorder="1" applyAlignment="1">
      <alignment horizontal="left" vertical="center" wrapText="1"/>
    </xf>
    <xf numFmtId="164" fontId="50" fillId="28" borderId="35" xfId="115" applyFont="1" applyFill="1" applyBorder="1" applyAlignment="1">
      <alignment horizontal="right" vertical="center" wrapText="1"/>
    </xf>
    <xf numFmtId="0" fontId="52" fillId="28" borderId="37" xfId="5" applyFont="1" applyFill="1" applyBorder="1" applyAlignment="1">
      <alignment horizontal="center" vertical="center" wrapText="1"/>
    </xf>
    <xf numFmtId="0" fontId="52" fillId="28" borderId="37" xfId="5" applyFont="1" applyFill="1" applyBorder="1" applyAlignment="1">
      <alignment horizontal="left" vertical="center" wrapText="1"/>
    </xf>
    <xf numFmtId="164" fontId="56" fillId="28" borderId="35" xfId="115" applyFont="1" applyFill="1" applyBorder="1" applyAlignment="1">
      <alignment horizontal="right" vertical="center" wrapText="1"/>
    </xf>
    <xf numFmtId="164" fontId="50" fillId="29" borderId="35" xfId="115" applyFont="1" applyFill="1" applyBorder="1" applyAlignment="1">
      <alignment horizontal="right" vertical="center" wrapText="1"/>
    </xf>
    <xf numFmtId="0" fontId="44" fillId="24" borderId="37" xfId="5" applyFont="1" applyFill="1" applyBorder="1" applyAlignment="1">
      <alignment horizontal="center" vertical="center" wrapText="1"/>
    </xf>
    <xf numFmtId="0" fontId="47" fillId="24" borderId="37" xfId="5" applyFont="1" applyFill="1" applyBorder="1" applyAlignment="1">
      <alignment horizontal="left" vertical="center" wrapText="1"/>
    </xf>
    <xf numFmtId="164" fontId="50" fillId="24" borderId="35" xfId="115" applyFont="1" applyFill="1" applyBorder="1" applyAlignment="1">
      <alignment horizontal="right" vertical="center" wrapText="1"/>
    </xf>
    <xf numFmtId="0" fontId="40" fillId="24" borderId="37" xfId="5" applyFont="1" applyFill="1" applyBorder="1" applyAlignment="1">
      <alignment horizontal="left" vertical="center" wrapText="1"/>
    </xf>
    <xf numFmtId="0" fontId="53" fillId="27" borderId="37" xfId="5" applyFont="1" applyFill="1" applyBorder="1" applyAlignment="1">
      <alignment horizontal="center" vertical="center" wrapText="1"/>
    </xf>
    <xf numFmtId="0" fontId="53" fillId="27" borderId="37" xfId="5" applyFont="1" applyFill="1" applyBorder="1" applyAlignment="1">
      <alignment horizontal="left" vertical="center" wrapText="1"/>
    </xf>
    <xf numFmtId="0" fontId="55" fillId="30" borderId="37" xfId="5" applyFont="1" applyFill="1" applyBorder="1" applyAlignment="1">
      <alignment horizontal="center" vertical="center" wrapText="1"/>
    </xf>
    <xf numFmtId="0" fontId="55" fillId="30" borderId="37" xfId="5" applyFont="1" applyFill="1" applyBorder="1" applyAlignment="1">
      <alignment horizontal="left" vertical="center" wrapText="1"/>
    </xf>
    <xf numFmtId="164" fontId="50" fillId="30" borderId="35" xfId="115" applyFont="1" applyFill="1" applyBorder="1" applyAlignment="1">
      <alignment horizontal="right" vertical="center" wrapText="1"/>
    </xf>
    <xf numFmtId="0" fontId="55" fillId="29" borderId="37" xfId="5" applyFont="1" applyFill="1" applyBorder="1" applyAlignment="1">
      <alignment horizontal="center" vertical="center" wrapText="1"/>
    </xf>
    <xf numFmtId="0" fontId="55" fillId="29" borderId="37" xfId="5" applyFont="1" applyFill="1" applyBorder="1" applyAlignment="1">
      <alignment horizontal="left" vertical="center" wrapText="1"/>
    </xf>
    <xf numFmtId="0" fontId="44" fillId="31" borderId="37" xfId="5" applyFont="1" applyFill="1" applyBorder="1" applyAlignment="1">
      <alignment horizontal="center" vertical="center" wrapText="1"/>
    </xf>
    <xf numFmtId="0" fontId="44" fillId="31" borderId="37" xfId="5" applyFont="1" applyFill="1" applyBorder="1" applyAlignment="1">
      <alignment horizontal="left" vertical="center" wrapText="1"/>
    </xf>
    <xf numFmtId="164" fontId="50" fillId="31" borderId="35" xfId="115" applyFont="1" applyFill="1" applyBorder="1" applyAlignment="1">
      <alignment horizontal="right" vertical="center" wrapText="1"/>
    </xf>
    <xf numFmtId="0" fontId="47" fillId="32" borderId="18" xfId="5" applyFont="1" applyFill="1" applyBorder="1" applyAlignment="1">
      <alignment horizontal="center" vertical="center" wrapText="1"/>
    </xf>
    <xf numFmtId="0" fontId="47" fillId="32" borderId="18" xfId="5" applyFont="1" applyFill="1" applyBorder="1" applyAlignment="1">
      <alignment horizontal="left" vertical="center" wrapText="1"/>
    </xf>
    <xf numFmtId="164" fontId="50" fillId="32" borderId="36" xfId="115" applyFont="1" applyFill="1" applyBorder="1" applyAlignment="1">
      <alignment horizontal="right" vertical="center" wrapText="1"/>
    </xf>
    <xf numFmtId="10" fontId="11" fillId="3" borderId="52" xfId="3" applyNumberFormat="1" applyFont="1" applyFill="1" applyBorder="1" applyAlignment="1" applyProtection="1">
      <alignment horizontal="right" vertical="center"/>
    </xf>
    <xf numFmtId="10" fontId="11" fillId="3" borderId="32" xfId="3" applyNumberFormat="1" applyFont="1" applyFill="1" applyBorder="1" applyAlignment="1" applyProtection="1">
      <alignment horizontal="right" vertical="center"/>
    </xf>
    <xf numFmtId="10" fontId="11" fillId="3" borderId="7" xfId="3" applyNumberFormat="1" applyFont="1" applyFill="1" applyBorder="1" applyAlignment="1" applyProtection="1">
      <alignment horizontal="right" vertical="center"/>
    </xf>
    <xf numFmtId="10" fontId="11" fillId="3" borderId="55" xfId="3" applyNumberFormat="1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49" xfId="3" applyNumberFormat="1" applyFont="1" applyFill="1" applyBorder="1" applyAlignment="1" applyProtection="1">
      <alignment horizontal="right" vertical="center"/>
    </xf>
    <xf numFmtId="10" fontId="10" fillId="0" borderId="49" xfId="3" applyNumberFormat="1" applyFont="1" applyFill="1" applyBorder="1" applyAlignment="1" applyProtection="1">
      <alignment horizontal="right" vertical="center"/>
    </xf>
    <xf numFmtId="10" fontId="11" fillId="0" borderId="49" xfId="3" applyNumberFormat="1" applyFont="1" applyFill="1" applyBorder="1" applyAlignment="1" applyProtection="1">
      <alignment horizontal="right" vertical="center"/>
    </xf>
    <xf numFmtId="10" fontId="11" fillId="0" borderId="54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4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3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3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3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3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0" fontId="47" fillId="0" borderId="5" xfId="5" applyFont="1" applyBorder="1" applyAlignment="1">
      <alignment horizontal="center" vertical="center" wrapText="1"/>
    </xf>
    <xf numFmtId="0" fontId="48" fillId="0" borderId="5" xfId="5" applyFont="1" applyBorder="1" applyAlignment="1">
      <alignment horizontal="center" vertical="center" wrapText="1"/>
    </xf>
    <xf numFmtId="0" fontId="44" fillId="0" borderId="7" xfId="5" applyFont="1" applyBorder="1" applyAlignment="1">
      <alignment horizontal="center" vertical="center" wrapText="1"/>
    </xf>
    <xf numFmtId="0" fontId="52" fillId="0" borderId="7" xfId="5" applyFont="1" applyBorder="1" applyAlignment="1">
      <alignment horizontal="center" vertical="center" wrapText="1"/>
    </xf>
    <xf numFmtId="0" fontId="44" fillId="23" borderId="7" xfId="5" applyFont="1" applyFill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4" fillId="0" borderId="7" xfId="5" applyFont="1" applyBorder="1" applyAlignment="1">
      <alignment horizontal="center" vertical="center" wrapText="1"/>
    </xf>
    <xf numFmtId="0" fontId="47" fillId="0" borderId="7" xfId="5" quotePrefix="1" applyFont="1" applyBorder="1" applyAlignment="1">
      <alignment horizontal="center" vertical="center" wrapText="1"/>
    </xf>
    <xf numFmtId="0" fontId="47" fillId="23" borderId="7" xfId="5" applyFont="1" applyFill="1" applyBorder="1" applyAlignment="1">
      <alignment horizontal="center" vertical="center" wrapText="1"/>
    </xf>
    <xf numFmtId="0" fontId="44" fillId="23" borderId="57" xfId="5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vertical="center"/>
    </xf>
    <xf numFmtId="164" fontId="50" fillId="0" borderId="0" xfId="115" applyFont="1" applyFill="1" applyBorder="1" applyAlignment="1">
      <alignment horizontal="right" vertical="center" wrapText="1"/>
    </xf>
    <xf numFmtId="164" fontId="56" fillId="0" borderId="0" xfId="115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3" borderId="30" xfId="4" applyNumberFormat="1" applyFont="1" applyFill="1" applyBorder="1" applyAlignment="1">
      <alignment horizontal="center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0" fillId="0" borderId="0" xfId="0" applyFont="1"/>
    <xf numFmtId="164" fontId="47" fillId="23" borderId="33" xfId="115" applyFont="1" applyFill="1" applyBorder="1" applyAlignment="1" applyProtection="1">
      <alignment horizontal="center" vertical="center" wrapText="1"/>
    </xf>
    <xf numFmtId="164" fontId="47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4" fillId="23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4" fillId="34" borderId="67" xfId="79" applyNumberFormat="1" applyFont="1" applyFill="1" applyBorder="1" applyAlignment="1">
      <alignment horizontal="center" vertical="center" wrapText="1"/>
    </xf>
    <xf numFmtId="49" fontId="59" fillId="0" borderId="70" xfId="79" applyNumberFormat="1" applyFont="1" applyBorder="1" applyAlignment="1">
      <alignment vertical="center" wrapText="1"/>
    </xf>
    <xf numFmtId="0" fontId="59" fillId="0" borderId="63" xfId="79" applyFont="1" applyBorder="1" applyAlignment="1">
      <alignment horizontal="left" vertical="center" wrapText="1"/>
    </xf>
    <xf numFmtId="49" fontId="59" fillId="0" borderId="63" xfId="79" applyNumberFormat="1" applyFont="1" applyBorder="1" applyAlignment="1">
      <alignment horizontal="left" vertical="center" wrapText="1"/>
    </xf>
    <xf numFmtId="49" fontId="59" fillId="0" borderId="63" xfId="79" applyNumberFormat="1" applyFont="1" applyBorder="1" applyAlignment="1">
      <alignment vertical="center" wrapText="1"/>
    </xf>
    <xf numFmtId="49" fontId="59" fillId="23" borderId="63" xfId="79" applyNumberFormat="1" applyFont="1" applyFill="1" applyBorder="1" applyAlignment="1">
      <alignment vertical="center" wrapText="1"/>
    </xf>
    <xf numFmtId="49" fontId="59" fillId="23" borderId="71" xfId="79" applyNumberFormat="1" applyFont="1" applyFill="1" applyBorder="1" applyAlignment="1">
      <alignment horizontal="left" vertical="center" wrapText="1"/>
    </xf>
    <xf numFmtId="49" fontId="65" fillId="3" borderId="73" xfId="79" applyNumberFormat="1" applyFont="1" applyFill="1" applyBorder="1" applyAlignment="1">
      <alignment horizontal="left" vertical="center" wrapText="1"/>
    </xf>
    <xf numFmtId="49" fontId="58" fillId="23" borderId="75" xfId="79" applyNumberFormat="1" applyFont="1" applyFill="1" applyBorder="1" applyAlignment="1">
      <alignment horizontal="left" vertical="center" wrapText="1"/>
    </xf>
    <xf numFmtId="49" fontId="58" fillId="23" borderId="76" xfId="79" applyNumberFormat="1" applyFont="1" applyFill="1" applyBorder="1" applyAlignment="1">
      <alignment horizontal="left" vertical="center" wrapText="1"/>
    </xf>
    <xf numFmtId="49" fontId="58" fillId="23" borderId="77" xfId="79" applyNumberFormat="1" applyFont="1" applyFill="1" applyBorder="1" applyAlignment="1">
      <alignment horizontal="left" vertical="center" wrapText="1"/>
    </xf>
    <xf numFmtId="49" fontId="58" fillId="23" borderId="60" xfId="79" applyNumberFormat="1" applyFont="1" applyFill="1" applyBorder="1" applyAlignment="1">
      <alignment horizontal="left" vertical="center" wrapText="1"/>
    </xf>
    <xf numFmtId="0" fontId="59" fillId="0" borderId="70" xfId="79" applyFont="1" applyBorder="1" applyAlignment="1">
      <alignment vertical="center"/>
    </xf>
    <xf numFmtId="0" fontId="7" fillId="0" borderId="63" xfId="79" applyBorder="1" applyAlignment="1">
      <alignment vertical="center"/>
    </xf>
    <xf numFmtId="0" fontId="60" fillId="0" borderId="64" xfId="79" quotePrefix="1" applyFont="1" applyBorder="1" applyAlignment="1">
      <alignment horizontal="center" vertical="center"/>
    </xf>
    <xf numFmtId="0" fontId="7" fillId="23" borderId="63" xfId="79" applyFill="1" applyBorder="1" applyAlignment="1">
      <alignment vertical="center"/>
    </xf>
    <xf numFmtId="0" fontId="59" fillId="0" borderId="63" xfId="79" applyFont="1" applyBorder="1" applyAlignment="1">
      <alignment vertical="center"/>
    </xf>
    <xf numFmtId="49" fontId="60" fillId="0" borderId="63" xfId="79" applyNumberFormat="1" applyFont="1" applyBorder="1" applyAlignment="1">
      <alignment horizontal="left" vertical="center"/>
    </xf>
    <xf numFmtId="0" fontId="60" fillId="0" borderId="64" xfId="79" applyFont="1" applyBorder="1" applyAlignment="1">
      <alignment horizontal="center" vertical="center"/>
    </xf>
    <xf numFmtId="49" fontId="59" fillId="0" borderId="63" xfId="79" applyNumberFormat="1" applyFont="1" applyBorder="1" applyAlignment="1">
      <alignment vertical="center"/>
    </xf>
    <xf numFmtId="0" fontId="60" fillId="0" borderId="63" xfId="79" applyFont="1" applyBorder="1" applyAlignment="1">
      <alignment horizontal="left" vertical="center"/>
    </xf>
    <xf numFmtId="0" fontId="60" fillId="23" borderId="63" xfId="79" applyFont="1" applyFill="1" applyBorder="1" applyAlignment="1">
      <alignment horizontal="left" vertical="center"/>
    </xf>
    <xf numFmtId="0" fontId="59" fillId="0" borderId="63" xfId="79" applyFont="1" applyBorder="1" applyAlignment="1">
      <alignment horizontal="left" vertical="center"/>
    </xf>
    <xf numFmtId="49" fontId="59" fillId="0" borderId="63" xfId="79" applyNumberFormat="1" applyFont="1" applyBorder="1" applyAlignment="1">
      <alignment horizontal="left" vertical="center"/>
    </xf>
    <xf numFmtId="49" fontId="59" fillId="23" borderId="63" xfId="79" applyNumberFormat="1" applyFont="1" applyFill="1" applyBorder="1" applyAlignment="1">
      <alignment vertical="center"/>
    </xf>
    <xf numFmtId="49" fontId="59" fillId="23" borderId="71" xfId="79" applyNumberFormat="1" applyFont="1" applyFill="1" applyBorder="1" applyAlignment="1">
      <alignment vertical="center"/>
    </xf>
    <xf numFmtId="0" fontId="65" fillId="3" borderId="73" xfId="79" applyFont="1" applyFill="1" applyBorder="1" applyAlignment="1">
      <alignment horizontal="left" vertical="center" wrapText="1"/>
    </xf>
    <xf numFmtId="0" fontId="65" fillId="35" borderId="78" xfId="79" applyFont="1" applyFill="1" applyBorder="1" applyAlignment="1">
      <alignment horizontal="left" vertical="center" wrapText="1"/>
    </xf>
    <xf numFmtId="0" fontId="7" fillId="35" borderId="79" xfId="79" applyFill="1" applyBorder="1" applyAlignment="1">
      <alignment vertical="center"/>
    </xf>
    <xf numFmtId="49" fontId="7" fillId="0" borderId="80" xfId="5" applyNumberFormat="1" applyBorder="1" applyAlignment="1">
      <alignment horizontal="center" vertical="center" wrapText="1"/>
    </xf>
    <xf numFmtId="49" fontId="7" fillId="0" borderId="81" xfId="5" applyNumberFormat="1" applyBorder="1" applyAlignment="1">
      <alignment horizontal="center" vertical="center" wrapText="1"/>
    </xf>
    <xf numFmtId="43" fontId="7" fillId="23" borderId="81" xfId="125" applyFont="1" applyFill="1" applyBorder="1" applyAlignment="1" applyProtection="1">
      <alignment horizontal="center" vertical="center" wrapText="1"/>
    </xf>
    <xf numFmtId="49" fontId="7" fillId="23" borderId="81" xfId="5" applyNumberFormat="1" applyFill="1" applyBorder="1" applyAlignment="1">
      <alignment horizontal="center" vertical="center" wrapText="1"/>
    </xf>
    <xf numFmtId="49" fontId="7" fillId="23" borderId="82" xfId="5" applyNumberFormat="1" applyFill="1" applyBorder="1" applyAlignment="1">
      <alignment horizontal="center" vertical="center" wrapText="1"/>
    </xf>
    <xf numFmtId="49" fontId="59" fillId="3" borderId="83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3" borderId="80" xfId="79" applyFill="1" applyBorder="1" applyAlignment="1">
      <alignment horizontal="center" vertical="center"/>
    </xf>
    <xf numFmtId="49" fontId="7" fillId="0" borderId="81" xfId="79" applyNumberFormat="1" applyBorder="1" applyAlignment="1">
      <alignment horizontal="center" vertical="center" wrapText="1"/>
    </xf>
    <xf numFmtId="49" fontId="7" fillId="0" borderId="81" xfId="79" applyNumberFormat="1" applyBorder="1" applyAlignment="1">
      <alignment horizontal="center" vertical="center"/>
    </xf>
    <xf numFmtId="49" fontId="7" fillId="23" borderId="81" xfId="79" applyNumberFormat="1" applyFill="1" applyBorder="1" applyAlignment="1">
      <alignment horizontal="center" vertical="center"/>
    </xf>
    <xf numFmtId="3" fontId="7" fillId="0" borderId="81" xfId="79" applyNumberFormat="1" applyBorder="1" applyAlignment="1">
      <alignment horizontal="center" vertical="center" wrapText="1"/>
    </xf>
    <xf numFmtId="0" fontId="7" fillId="0" borderId="81" xfId="79" applyBorder="1" applyAlignment="1">
      <alignment horizontal="center" vertical="center"/>
    </xf>
    <xf numFmtId="0" fontId="7" fillId="23" borderId="81" xfId="79" applyFill="1" applyBorder="1" applyAlignment="1">
      <alignment horizontal="center" vertical="center" wrapText="1"/>
    </xf>
    <xf numFmtId="0" fontId="7" fillId="0" borderId="81" xfId="79" quotePrefix="1" applyBorder="1" applyAlignment="1">
      <alignment horizontal="center" vertical="center"/>
    </xf>
    <xf numFmtId="0" fontId="7" fillId="0" borderId="81" xfId="79" quotePrefix="1" applyBorder="1" applyAlignment="1">
      <alignment horizontal="center" vertical="center" wrapText="1"/>
    </xf>
    <xf numFmtId="0" fontId="7" fillId="23" borderId="82" xfId="79" quotePrefix="1" applyFill="1" applyBorder="1" applyAlignment="1">
      <alignment horizontal="center" vertical="center" wrapText="1"/>
    </xf>
    <xf numFmtId="49" fontId="58" fillId="3" borderId="83" xfId="79" applyNumberFormat="1" applyFont="1" applyFill="1" applyBorder="1" applyAlignment="1">
      <alignment horizontal="left" vertical="center" wrapText="1"/>
    </xf>
    <xf numFmtId="0" fontId="66" fillId="34" borderId="61" xfId="79" applyFont="1" applyFill="1" applyBorder="1" applyAlignment="1">
      <alignment horizontal="center" vertical="center"/>
    </xf>
    <xf numFmtId="0" fontId="66" fillId="34" borderId="64" xfId="79" applyFont="1" applyFill="1" applyBorder="1" applyAlignment="1">
      <alignment horizontal="center" vertical="center"/>
    </xf>
    <xf numFmtId="0" fontId="66" fillId="34" borderId="68" xfId="79" applyFont="1" applyFill="1" applyBorder="1" applyAlignment="1">
      <alignment horizontal="center" vertical="center"/>
    </xf>
    <xf numFmtId="2" fontId="66" fillId="0" borderId="66" xfId="5" applyNumberFormat="1" applyFont="1" applyBorder="1" applyAlignment="1">
      <alignment horizontal="center" vertical="center" wrapText="1"/>
    </xf>
    <xf numFmtId="1" fontId="66" fillId="0" borderId="64" xfId="5" applyNumberFormat="1" applyFont="1" applyBorder="1" applyAlignment="1">
      <alignment horizontal="center" vertical="center" wrapText="1"/>
    </xf>
    <xf numFmtId="1" fontId="66" fillId="0" borderId="72" xfId="5" applyNumberFormat="1" applyFont="1" applyBorder="1" applyAlignment="1">
      <alignment horizontal="center" vertical="center" wrapText="1"/>
    </xf>
    <xf numFmtId="49" fontId="67" fillId="3" borderId="74" xfId="79" applyNumberFormat="1" applyFont="1" applyFill="1" applyBorder="1" applyAlignment="1">
      <alignment horizontal="center" vertical="center" wrapText="1"/>
    </xf>
    <xf numFmtId="49" fontId="66" fillId="23" borderId="76" xfId="79" applyNumberFormat="1" applyFont="1" applyFill="1" applyBorder="1" applyAlignment="1">
      <alignment horizontal="left" vertical="center" wrapText="1"/>
    </xf>
    <xf numFmtId="49" fontId="66" fillId="23" borderId="60" xfId="79" applyNumberFormat="1" applyFont="1" applyFill="1" applyBorder="1" applyAlignment="1">
      <alignment horizontal="left" vertical="center" wrapText="1"/>
    </xf>
    <xf numFmtId="49" fontId="66" fillId="34" borderId="68" xfId="79" applyNumberFormat="1" applyFont="1" applyFill="1" applyBorder="1" applyAlignment="1">
      <alignment horizontal="center" vertical="center" wrapText="1"/>
    </xf>
    <xf numFmtId="49" fontId="66" fillId="0" borderId="66" xfId="79" applyNumberFormat="1" applyFont="1" applyBorder="1" applyAlignment="1">
      <alignment horizontal="center" vertical="center" wrapText="1"/>
    </xf>
    <xf numFmtId="0" fontId="66" fillId="0" borderId="64" xfId="79" quotePrefix="1" applyFont="1" applyBorder="1" applyAlignment="1">
      <alignment horizontal="center" vertical="center"/>
    </xf>
    <xf numFmtId="0" fontId="66" fillId="0" borderId="64" xfId="79" quotePrefix="1" applyFont="1" applyBorder="1" applyAlignment="1">
      <alignment horizontal="center" vertical="center" wrapText="1"/>
    </xf>
    <xf numFmtId="0" fontId="66" fillId="0" borderId="72" xfId="79" quotePrefix="1" applyFont="1" applyBorder="1" applyAlignment="1">
      <alignment horizontal="center" vertical="center"/>
    </xf>
    <xf numFmtId="0" fontId="66" fillId="3" borderId="74" xfId="79" applyFont="1" applyFill="1" applyBorder="1" applyAlignment="1">
      <alignment horizontal="center" vertical="center" wrapText="1"/>
    </xf>
    <xf numFmtId="0" fontId="66" fillId="0" borderId="0" xfId="79" applyFont="1" applyAlignment="1">
      <alignment vertical="center"/>
    </xf>
    <xf numFmtId="0" fontId="66" fillId="35" borderId="79" xfId="79" applyFont="1" applyFill="1" applyBorder="1" applyAlignment="1">
      <alignment horizontal="center" vertical="center" wrapText="1"/>
    </xf>
    <xf numFmtId="0" fontId="47" fillId="0" borderId="30" xfId="5" applyFont="1" applyBorder="1" applyAlignment="1">
      <alignment horizontal="center" vertical="center" wrapText="1"/>
    </xf>
    <xf numFmtId="166" fontId="10" fillId="0" borderId="3" xfId="2" quotePrefix="1" applyNumberFormat="1" applyFont="1" applyFill="1" applyBorder="1" applyAlignment="1" applyProtection="1">
      <alignment horizontal="right" vertical="center"/>
    </xf>
    <xf numFmtId="10" fontId="11" fillId="0" borderId="49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49" xfId="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61" fillId="0" borderId="0" xfId="0" applyFont="1"/>
    <xf numFmtId="0" fontId="46" fillId="23" borderId="0" xfId="4" applyFont="1" applyFill="1" applyAlignment="1">
      <alignment horizontal="center" vertical="center"/>
    </xf>
    <xf numFmtId="0" fontId="46" fillId="0" borderId="0" xfId="4" applyFont="1" applyAlignment="1">
      <alignment vertical="center"/>
    </xf>
    <xf numFmtId="0" fontId="6" fillId="33" borderId="33" xfId="5" applyFont="1" applyFill="1" applyBorder="1" applyAlignment="1">
      <alignment horizontal="center" vertical="center" wrapText="1"/>
    </xf>
    <xf numFmtId="43" fontId="6" fillId="33" borderId="33" xfId="1" applyFont="1" applyFill="1" applyBorder="1" applyAlignment="1" applyProtection="1">
      <alignment horizontal="center" vertical="center" wrapText="1"/>
    </xf>
    <xf numFmtId="0" fontId="69" fillId="36" borderId="3" xfId="79" applyFont="1" applyFill="1" applyBorder="1" applyAlignment="1">
      <alignment horizontal="left" vertical="center" wrapText="1"/>
    </xf>
    <xf numFmtId="0" fontId="8" fillId="36" borderId="3" xfId="79" applyFont="1" applyFill="1" applyBorder="1" applyAlignment="1">
      <alignment horizontal="left" vertical="center" wrapText="1"/>
    </xf>
    <xf numFmtId="0" fontId="69" fillId="36" borderId="3" xfId="79" applyFont="1" applyFill="1" applyBorder="1" applyAlignment="1">
      <alignment horizontal="center" vertical="center" wrapText="1"/>
    </xf>
    <xf numFmtId="0" fontId="70" fillId="0" borderId="3" xfId="79" applyFont="1" applyBorder="1" applyAlignment="1">
      <alignment horizontal="left" vertical="center" wrapText="1"/>
    </xf>
    <xf numFmtId="0" fontId="71" fillId="0" borderId="3" xfId="79" applyFont="1" applyBorder="1" applyAlignment="1">
      <alignment horizontal="left" vertical="center" wrapText="1"/>
    </xf>
    <xf numFmtId="0" fontId="71" fillId="0" borderId="3" xfId="5" applyFont="1" applyBorder="1" applyAlignment="1">
      <alignment horizontal="left" vertical="center" wrapText="1"/>
    </xf>
    <xf numFmtId="0" fontId="71" fillId="0" borderId="3" xfId="5" applyFont="1" applyBorder="1" applyAlignment="1">
      <alignment horizontal="center" vertical="center" wrapText="1"/>
    </xf>
    <xf numFmtId="0" fontId="72" fillId="3" borderId="3" xfId="79" applyFont="1" applyFill="1" applyBorder="1" applyAlignment="1">
      <alignment horizontal="left" vertical="center" wrapText="1"/>
    </xf>
    <xf numFmtId="0" fontId="71" fillId="3" borderId="3" xfId="79" applyFont="1" applyFill="1" applyBorder="1" applyAlignment="1">
      <alignment horizontal="left" vertical="center" wrapText="1"/>
    </xf>
    <xf numFmtId="0" fontId="71" fillId="3" borderId="3" xfId="5" applyFont="1" applyFill="1" applyBorder="1" applyAlignment="1">
      <alignment horizontal="left" vertical="center" wrapText="1"/>
    </xf>
    <xf numFmtId="0" fontId="71" fillId="3" borderId="3" xfId="5" applyFont="1" applyFill="1" applyBorder="1" applyAlignment="1">
      <alignment horizontal="center" vertical="center" wrapText="1"/>
    </xf>
    <xf numFmtId="43" fontId="69" fillId="36" borderId="3" xfId="1" applyFont="1" applyFill="1" applyBorder="1" applyAlignment="1">
      <alignment horizontal="left" vertical="center" wrapText="1"/>
    </xf>
    <xf numFmtId="43" fontId="71" fillId="0" borderId="3" xfId="1" applyFont="1" applyBorder="1" applyAlignment="1">
      <alignment horizontal="left" vertical="center" wrapText="1"/>
    </xf>
    <xf numFmtId="43" fontId="71" fillId="3" borderId="3" xfId="1" applyFont="1" applyFill="1" applyBorder="1" applyAlignment="1">
      <alignment horizontal="left" vertical="center" wrapText="1"/>
    </xf>
    <xf numFmtId="0" fontId="12" fillId="36" borderId="3" xfId="79" applyFont="1" applyFill="1" applyBorder="1" applyAlignment="1">
      <alignment horizontal="left" vertical="center" wrapText="1"/>
    </xf>
    <xf numFmtId="0" fontId="8" fillId="36" borderId="3" xfId="79" applyFont="1" applyFill="1" applyBorder="1" applyAlignment="1">
      <alignment horizontal="center" vertical="center" wrapText="1"/>
    </xf>
    <xf numFmtId="0" fontId="71" fillId="0" borderId="3" xfId="79" applyFont="1" applyBorder="1" applyAlignment="1">
      <alignment horizontal="center" vertical="center"/>
    </xf>
    <xf numFmtId="0" fontId="8" fillId="3" borderId="3" xfId="79" applyFont="1" applyFill="1" applyBorder="1" applyAlignment="1">
      <alignment horizontal="center" vertical="center"/>
    </xf>
    <xf numFmtId="0" fontId="8" fillId="3" borderId="3" xfId="79" applyFont="1" applyFill="1" applyBorder="1" applyAlignment="1">
      <alignment horizontal="center" vertical="center" wrapText="1"/>
    </xf>
    <xf numFmtId="0" fontId="12" fillId="3" borderId="3" xfId="79" applyFont="1" applyFill="1" applyBorder="1" applyAlignment="1">
      <alignment horizontal="left" vertical="center" wrapText="1"/>
    </xf>
    <xf numFmtId="0" fontId="71" fillId="3" borderId="3" xfId="79" applyFont="1" applyFill="1" applyBorder="1" applyAlignment="1">
      <alignment horizontal="center" vertical="center"/>
    </xf>
    <xf numFmtId="0" fontId="71" fillId="36" borderId="3" xfId="79" applyFont="1" applyFill="1" applyBorder="1" applyAlignment="1">
      <alignment horizontal="left" vertical="center" wrapText="1"/>
    </xf>
    <xf numFmtId="43" fontId="7" fillId="0" borderId="0" xfId="1" applyFont="1"/>
    <xf numFmtId="0" fontId="68" fillId="36" borderId="3" xfId="79" applyFont="1" applyFill="1" applyBorder="1" applyAlignment="1">
      <alignment horizontal="left" vertical="center" wrapText="1"/>
    </xf>
    <xf numFmtId="43" fontId="8" fillId="36" borderId="3" xfId="1" applyFont="1" applyFill="1" applyBorder="1" applyAlignment="1">
      <alignment horizontal="center" vertical="center" wrapText="1"/>
    </xf>
    <xf numFmtId="43" fontId="69" fillId="36" borderId="3" xfId="1" applyFont="1" applyFill="1" applyBorder="1" applyAlignment="1">
      <alignment horizontal="center" vertical="center" wrapText="1"/>
    </xf>
    <xf numFmtId="43" fontId="71" fillId="0" borderId="3" xfId="1" applyFont="1" applyBorder="1" applyAlignment="1">
      <alignment horizontal="center" vertical="center" wrapText="1"/>
    </xf>
    <xf numFmtId="43" fontId="71" fillId="0" borderId="3" xfId="1" applyFont="1" applyBorder="1" applyAlignment="1">
      <alignment horizontal="center" vertical="center"/>
    </xf>
    <xf numFmtId="43" fontId="71" fillId="0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71" fillId="3" borderId="3" xfId="1" applyFont="1" applyFill="1" applyBorder="1" applyAlignment="1">
      <alignment horizontal="center" vertical="center"/>
    </xf>
    <xf numFmtId="43" fontId="8" fillId="36" borderId="3" xfId="1" applyFont="1" applyFill="1" applyBorder="1" applyAlignment="1">
      <alignment horizontal="left" vertical="center" wrapText="1"/>
    </xf>
    <xf numFmtId="0" fontId="8" fillId="36" borderId="34" xfId="79" applyFont="1" applyFill="1" applyBorder="1" applyAlignment="1">
      <alignment horizontal="left" vertical="center" wrapText="1"/>
    </xf>
    <xf numFmtId="0" fontId="8" fillId="36" borderId="34" xfId="79" applyFont="1" applyFill="1" applyBorder="1" applyAlignment="1">
      <alignment horizontal="center" vertical="center" wrapText="1"/>
    </xf>
    <xf numFmtId="43" fontId="8" fillId="36" borderId="34" xfId="1" applyFont="1" applyFill="1" applyBorder="1" applyAlignment="1">
      <alignment horizontal="center" vertical="center" wrapText="1"/>
    </xf>
    <xf numFmtId="0" fontId="59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64" fontId="47" fillId="0" borderId="33" xfId="115" applyFont="1" applyFill="1" applyBorder="1" applyAlignment="1" applyProtection="1">
      <alignment horizontal="center" vertical="center" wrapText="1"/>
    </xf>
    <xf numFmtId="1" fontId="10" fillId="33" borderId="30" xfId="4" applyNumberFormat="1" applyFont="1" applyFill="1" applyBorder="1" applyAlignment="1">
      <alignment horizontal="center" vertical="center"/>
    </xf>
    <xf numFmtId="0" fontId="12" fillId="36" borderId="34" xfId="79" applyFont="1" applyFill="1" applyBorder="1" applyAlignment="1">
      <alignment horizontal="left" vertical="center" wrapText="1"/>
    </xf>
    <xf numFmtId="0" fontId="6" fillId="36" borderId="3" xfId="79" applyFont="1" applyFill="1" applyBorder="1" applyAlignment="1">
      <alignment horizontal="left" vertical="center" wrapText="1"/>
    </xf>
    <xf numFmtId="0" fontId="6" fillId="36" borderId="3" xfId="79" applyFont="1" applyFill="1" applyBorder="1" applyAlignment="1">
      <alignment horizontal="center" vertical="center" wrapText="1"/>
    </xf>
    <xf numFmtId="0" fontId="71" fillId="0" borderId="3" xfId="79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71" fillId="0" borderId="11" xfId="79" applyFont="1" applyBorder="1" applyAlignment="1">
      <alignment horizontal="left" vertical="center" wrapText="1"/>
    </xf>
    <xf numFmtId="0" fontId="71" fillId="0" borderId="11" xfId="5" applyFont="1" applyBorder="1" applyAlignment="1">
      <alignment horizontal="left" vertical="center" wrapText="1"/>
    </xf>
    <xf numFmtId="0" fontId="71" fillId="0" borderId="11" xfId="79" applyFont="1" applyBorder="1" applyAlignment="1">
      <alignment horizontal="center" vertical="center" wrapText="1"/>
    </xf>
    <xf numFmtId="43" fontId="6" fillId="36" borderId="3" xfId="1" applyFont="1" applyFill="1" applyBorder="1" applyAlignment="1">
      <alignment horizontal="center" vertical="center" wrapText="1"/>
    </xf>
    <xf numFmtId="0" fontId="71" fillId="37" borderId="3" xfId="79" applyFont="1" applyFill="1" applyBorder="1" applyAlignment="1">
      <alignment horizontal="left" vertical="center" wrapText="1"/>
    </xf>
    <xf numFmtId="0" fontId="6" fillId="37" borderId="3" xfId="79" applyFont="1" applyFill="1" applyBorder="1" applyAlignment="1">
      <alignment horizontal="left" vertical="center" wrapText="1"/>
    </xf>
    <xf numFmtId="0" fontId="6" fillId="37" borderId="3" xfId="79" applyFont="1" applyFill="1" applyBorder="1" applyAlignment="1">
      <alignment horizontal="center" vertical="center" wrapText="1"/>
    </xf>
    <xf numFmtId="43" fontId="6" fillId="37" borderId="3" xfId="1" applyFont="1" applyFill="1" applyBorder="1" applyAlignment="1">
      <alignment horizontal="center" vertical="center" wrapText="1"/>
    </xf>
    <xf numFmtId="0" fontId="71" fillId="0" borderId="3" xfId="76" applyFont="1" applyBorder="1" applyAlignment="1">
      <alignment vertical="center" wrapText="1"/>
    </xf>
    <xf numFmtId="0" fontId="46" fillId="0" borderId="0" xfId="5" applyFont="1" applyAlignment="1">
      <alignment vertical="center"/>
    </xf>
    <xf numFmtId="176" fontId="73" fillId="22" borderId="0" xfId="118" applyNumberFormat="1" applyFont="1" applyFill="1" applyAlignment="1">
      <alignment horizontal="center" vertical="center"/>
    </xf>
    <xf numFmtId="0" fontId="46" fillId="22" borderId="0" xfId="4" applyFont="1" applyFill="1" applyAlignment="1">
      <alignment horizontal="center" vertical="center"/>
    </xf>
    <xf numFmtId="176" fontId="73" fillId="22" borderId="0" xfId="118" applyNumberFormat="1" applyFont="1" applyFill="1" applyBorder="1" applyAlignment="1">
      <alignment horizontal="center" vertical="center"/>
    </xf>
    <xf numFmtId="0" fontId="46" fillId="22" borderId="0" xfId="4" applyFont="1" applyFill="1" applyAlignment="1">
      <alignment vertical="center"/>
    </xf>
    <xf numFmtId="0" fontId="47" fillId="22" borderId="0" xfId="4" applyFont="1" applyFill="1" applyAlignment="1">
      <alignment horizontal="center" vertical="center"/>
    </xf>
    <xf numFmtId="0" fontId="74" fillId="22" borderId="0" xfId="4" applyFont="1" applyFill="1" applyAlignment="1">
      <alignment horizontal="center" vertical="center"/>
    </xf>
    <xf numFmtId="0" fontId="47" fillId="23" borderId="33" xfId="5" applyFont="1" applyFill="1" applyBorder="1" applyAlignment="1">
      <alignment horizontal="center" vertical="center"/>
    </xf>
    <xf numFmtId="0" fontId="47" fillId="22" borderId="23" xfId="5" applyFont="1" applyFill="1" applyBorder="1" applyAlignment="1">
      <alignment horizontal="center" vertical="center"/>
    </xf>
    <xf numFmtId="0" fontId="47" fillId="22" borderId="30" xfId="5" applyFont="1" applyFill="1" applyBorder="1" applyAlignment="1">
      <alignment vertical="center" wrapText="1"/>
    </xf>
    <xf numFmtId="164" fontId="45" fillId="0" borderId="33" xfId="115" applyFont="1" applyFill="1" applyBorder="1" applyAlignment="1" applyProtection="1">
      <alignment horizontal="center" vertical="center" wrapText="1"/>
    </xf>
    <xf numFmtId="164" fontId="45" fillId="23" borderId="33" xfId="115" applyFont="1" applyFill="1" applyBorder="1" applyAlignment="1" applyProtection="1">
      <alignment horizontal="center" vertical="center" wrapText="1"/>
    </xf>
    <xf numFmtId="0" fontId="74" fillId="22" borderId="0" xfId="5" applyFont="1" applyFill="1" applyAlignment="1">
      <alignment vertical="center" wrapText="1"/>
    </xf>
    <xf numFmtId="0" fontId="43" fillId="23" borderId="0" xfId="128" applyFont="1" applyFill="1" applyAlignment="1">
      <alignment vertical="center"/>
    </xf>
    <xf numFmtId="0" fontId="47" fillId="22" borderId="0" xfId="5" applyFont="1" applyFill="1" applyAlignment="1">
      <alignment vertical="center" wrapText="1"/>
    </xf>
    <xf numFmtId="0" fontId="44" fillId="36" borderId="88" xfId="5" applyFont="1" applyFill="1" applyBorder="1" applyAlignment="1">
      <alignment horizontal="center" vertical="center" wrapText="1"/>
    </xf>
    <xf numFmtId="0" fontId="47" fillId="36" borderId="50" xfId="76" applyFont="1" applyFill="1" applyBorder="1" applyAlignment="1">
      <alignment horizontal="center" vertical="center" wrapText="1"/>
    </xf>
    <xf numFmtId="0" fontId="47" fillId="36" borderId="50" xfId="76" applyFont="1" applyFill="1" applyBorder="1" applyAlignment="1">
      <alignment horizontal="left" vertical="center" wrapText="1"/>
    </xf>
    <xf numFmtId="164" fontId="75" fillId="36" borderId="51" xfId="118" applyFont="1" applyFill="1" applyBorder="1" applyAlignment="1" applyProtection="1">
      <alignment horizontal="center" vertical="center" wrapText="1"/>
    </xf>
    <xf numFmtId="0" fontId="74" fillId="0" borderId="0" xfId="4" applyFont="1" applyAlignment="1">
      <alignment vertical="center" wrapText="1"/>
    </xf>
    <xf numFmtId="49" fontId="74" fillId="0" borderId="0" xfId="4" applyNumberFormat="1" applyFont="1" applyAlignment="1">
      <alignment vertical="center" wrapText="1"/>
    </xf>
    <xf numFmtId="0" fontId="47" fillId="0" borderId="0" xfId="4" applyFont="1" applyAlignment="1">
      <alignment vertical="center" wrapText="1"/>
    </xf>
    <xf numFmtId="0" fontId="44" fillId="3" borderId="52" xfId="5" applyFont="1" applyFill="1" applyBorder="1" applyAlignment="1">
      <alignment horizontal="center" vertical="center" wrapText="1"/>
    </xf>
    <xf numFmtId="0" fontId="47" fillId="3" borderId="37" xfId="76" applyFont="1" applyFill="1" applyBorder="1" applyAlignment="1">
      <alignment horizontal="center" vertical="center" wrapText="1"/>
    </xf>
    <xf numFmtId="0" fontId="47" fillId="3" borderId="37" xfId="76" applyFont="1" applyFill="1" applyBorder="1" applyAlignment="1">
      <alignment horizontal="left" vertical="center" wrapText="1"/>
    </xf>
    <xf numFmtId="164" fontId="76" fillId="3" borderId="35" xfId="118" applyFont="1" applyFill="1" applyBorder="1" applyAlignment="1">
      <alignment horizontal="center" vertical="center" wrapText="1"/>
    </xf>
    <xf numFmtId="0" fontId="74" fillId="23" borderId="0" xfId="4" applyFont="1" applyFill="1" applyAlignment="1">
      <alignment vertical="center" wrapText="1"/>
    </xf>
    <xf numFmtId="0" fontId="52" fillId="29" borderId="52" xfId="5" applyFont="1" applyFill="1" applyBorder="1" applyAlignment="1">
      <alignment horizontal="center" vertical="center" wrapText="1"/>
    </xf>
    <xf numFmtId="0" fontId="53" fillId="29" borderId="37" xfId="76" applyFont="1" applyFill="1" applyBorder="1" applyAlignment="1">
      <alignment horizontal="center" vertical="center" wrapText="1"/>
    </xf>
    <xf numFmtId="0" fontId="53" fillId="29" borderId="37" xfId="76" applyFont="1" applyFill="1" applyBorder="1" applyAlignment="1">
      <alignment horizontal="left" vertical="center" wrapText="1"/>
    </xf>
    <xf numFmtId="164" fontId="76" fillId="29" borderId="35" xfId="118" applyFont="1" applyFill="1" applyBorder="1" applyAlignment="1">
      <alignment horizontal="center" vertical="center" wrapText="1"/>
    </xf>
    <xf numFmtId="0" fontId="53" fillId="0" borderId="0" xfId="4" applyFont="1" applyAlignment="1">
      <alignment vertical="center" wrapText="1"/>
    </xf>
    <xf numFmtId="0" fontId="44" fillId="0" borderId="52" xfId="5" applyFont="1" applyBorder="1" applyAlignment="1">
      <alignment horizontal="center" vertical="center" wrapText="1"/>
    </xf>
    <xf numFmtId="0" fontId="44" fillId="0" borderId="37" xfId="76" applyFont="1" applyBorder="1" applyAlignment="1">
      <alignment horizontal="center" vertical="center" wrapText="1"/>
    </xf>
    <xf numFmtId="0" fontId="44" fillId="0" borderId="37" xfId="76" applyFont="1" applyBorder="1" applyAlignment="1">
      <alignment horizontal="left" vertical="center" wrapText="1"/>
    </xf>
    <xf numFmtId="164" fontId="76" fillId="0" borderId="35" xfId="118" applyFont="1" applyBorder="1" applyAlignment="1">
      <alignment horizontal="center" vertical="center" wrapText="1"/>
    </xf>
    <xf numFmtId="49" fontId="46" fillId="0" borderId="0" xfId="4" applyNumberFormat="1" applyFont="1" applyAlignment="1">
      <alignment vertical="center" wrapText="1"/>
    </xf>
    <xf numFmtId="0" fontId="44" fillId="0" borderId="0" xfId="4" applyFont="1" applyAlignment="1">
      <alignment vertical="center" wrapText="1"/>
    </xf>
    <xf numFmtId="0" fontId="44" fillId="29" borderId="52" xfId="5" applyFont="1" applyFill="1" applyBorder="1" applyAlignment="1">
      <alignment horizontal="center" vertical="center" wrapText="1"/>
    </xf>
    <xf numFmtId="0" fontId="53" fillId="0" borderId="37" xfId="76" applyFont="1" applyBorder="1" applyAlignment="1">
      <alignment horizontal="center" vertical="center" wrapText="1"/>
    </xf>
    <xf numFmtId="0" fontId="53" fillId="0" borderId="37" xfId="76" applyFont="1" applyBorder="1" applyAlignment="1">
      <alignment horizontal="left" vertical="center" wrapText="1"/>
    </xf>
    <xf numFmtId="0" fontId="44" fillId="0" borderId="88" xfId="5" applyFont="1" applyBorder="1" applyAlignment="1">
      <alignment horizontal="center" vertical="center" wrapText="1"/>
    </xf>
    <xf numFmtId="0" fontId="44" fillId="0" borderId="54" xfId="5" applyFont="1" applyBorder="1" applyAlignment="1">
      <alignment horizontal="center" vertical="center" wrapText="1"/>
    </xf>
    <xf numFmtId="0" fontId="44" fillId="0" borderId="18" xfId="76" applyFont="1" applyBorder="1" applyAlignment="1">
      <alignment horizontal="center" vertical="center" wrapText="1"/>
    </xf>
    <xf numFmtId="0" fontId="44" fillId="0" borderId="18" xfId="76" applyFont="1" applyBorder="1" applyAlignment="1">
      <alignment horizontal="left" vertical="center" wrapText="1"/>
    </xf>
    <xf numFmtId="0" fontId="44" fillId="3" borderId="88" xfId="5" applyFont="1" applyFill="1" applyBorder="1" applyAlignment="1">
      <alignment horizontal="center" vertical="center" wrapText="1"/>
    </xf>
    <xf numFmtId="0" fontId="47" fillId="3" borderId="50" xfId="76" applyFont="1" applyFill="1" applyBorder="1" applyAlignment="1">
      <alignment horizontal="center" vertical="center" wrapText="1"/>
    </xf>
    <xf numFmtId="0" fontId="47" fillId="3" borderId="50" xfId="76" applyFont="1" applyFill="1" applyBorder="1" applyAlignment="1">
      <alignment horizontal="left" vertical="center" wrapText="1"/>
    </xf>
    <xf numFmtId="164" fontId="76" fillId="3" borderId="51" xfId="118" applyFont="1" applyFill="1" applyBorder="1" applyAlignment="1">
      <alignment horizontal="center" vertical="center" wrapText="1"/>
    </xf>
    <xf numFmtId="164" fontId="76" fillId="36" borderId="51" xfId="118" applyFont="1" applyFill="1" applyBorder="1" applyAlignment="1">
      <alignment horizontal="center" vertical="center" wrapText="1"/>
    </xf>
    <xf numFmtId="0" fontId="44" fillId="23" borderId="52" xfId="5" applyFont="1" applyFill="1" applyBorder="1" applyAlignment="1">
      <alignment horizontal="center" vertical="center" wrapText="1"/>
    </xf>
    <xf numFmtId="0" fontId="44" fillId="23" borderId="37" xfId="76" applyFont="1" applyFill="1" applyBorder="1" applyAlignment="1">
      <alignment horizontal="center" vertical="center" wrapText="1"/>
    </xf>
    <xf numFmtId="0" fontId="44" fillId="23" borderId="37" xfId="76" applyFont="1" applyFill="1" applyBorder="1" applyAlignment="1">
      <alignment horizontal="left" vertical="center" wrapText="1"/>
    </xf>
    <xf numFmtId="49" fontId="46" fillId="23" borderId="0" xfId="4" applyNumberFormat="1" applyFont="1" applyFill="1" applyAlignment="1">
      <alignment vertical="center" wrapText="1"/>
    </xf>
    <xf numFmtId="0" fontId="46" fillId="23" borderId="0" xfId="4" applyFont="1" applyFill="1" applyAlignment="1">
      <alignment vertical="center" wrapText="1"/>
    </xf>
    <xf numFmtId="49" fontId="44" fillId="23" borderId="0" xfId="4" applyNumberFormat="1" applyFont="1" applyFill="1" applyAlignment="1">
      <alignment vertical="center" wrapText="1"/>
    </xf>
    <xf numFmtId="0" fontId="54" fillId="23" borderId="52" xfId="5" applyFont="1" applyFill="1" applyBorder="1" applyAlignment="1">
      <alignment horizontal="center" vertical="center" wrapText="1"/>
    </xf>
    <xf numFmtId="0" fontId="44" fillId="38" borderId="52" xfId="5" applyFont="1" applyFill="1" applyBorder="1" applyAlignment="1">
      <alignment horizontal="center" vertical="center" wrapText="1"/>
    </xf>
    <xf numFmtId="0" fontId="44" fillId="38" borderId="37" xfId="76" applyFont="1" applyFill="1" applyBorder="1" applyAlignment="1">
      <alignment horizontal="center" vertical="center" wrapText="1"/>
    </xf>
    <xf numFmtId="0" fontId="44" fillId="38" borderId="37" xfId="76" applyFont="1" applyFill="1" applyBorder="1" applyAlignment="1">
      <alignment horizontal="left" vertical="center" wrapText="1"/>
    </xf>
    <xf numFmtId="164" fontId="76" fillId="38" borderId="35" xfId="118" applyFont="1" applyFill="1" applyBorder="1" applyAlignment="1">
      <alignment horizontal="center" vertical="center" wrapText="1"/>
    </xf>
    <xf numFmtId="0" fontId="44" fillId="23" borderId="37" xfId="76" applyFont="1" applyFill="1" applyBorder="1" applyAlignment="1">
      <alignment vertical="center" wrapText="1"/>
    </xf>
    <xf numFmtId="0" fontId="44" fillId="23" borderId="52" xfId="5" applyFont="1" applyFill="1" applyBorder="1" applyAlignment="1">
      <alignment horizontal="center" vertical="center"/>
    </xf>
    <xf numFmtId="0" fontId="54" fillId="38" borderId="52" xfId="5" applyFont="1" applyFill="1" applyBorder="1" applyAlignment="1">
      <alignment horizontal="center" vertical="center"/>
    </xf>
    <xf numFmtId="0" fontId="44" fillId="38" borderId="37" xfId="76" applyFont="1" applyFill="1" applyBorder="1" applyAlignment="1">
      <alignment vertical="center" wrapText="1"/>
    </xf>
    <xf numFmtId="0" fontId="46" fillId="0" borderId="0" xfId="4" applyFont="1" applyAlignment="1">
      <alignment vertical="center" wrapText="1"/>
    </xf>
    <xf numFmtId="49" fontId="44" fillId="0" borderId="0" xfId="4" applyNumberFormat="1" applyFont="1" applyAlignment="1">
      <alignment vertical="center" wrapText="1"/>
    </xf>
    <xf numFmtId="0" fontId="44" fillId="0" borderId="52" xfId="5" applyFont="1" applyBorder="1" applyAlignment="1">
      <alignment horizontal="center" vertical="center"/>
    </xf>
    <xf numFmtId="0" fontId="44" fillId="0" borderId="37" xfId="76" applyFont="1" applyBorder="1" applyAlignment="1">
      <alignment vertical="center" wrapText="1"/>
    </xf>
    <xf numFmtId="0" fontId="44" fillId="0" borderId="89" xfId="5" applyFont="1" applyBorder="1" applyAlignment="1">
      <alignment horizontal="center" vertical="center"/>
    </xf>
    <xf numFmtId="0" fontId="77" fillId="29" borderId="52" xfId="5" applyFont="1" applyFill="1" applyBorder="1" applyAlignment="1">
      <alignment horizontal="center" vertical="center" wrapText="1"/>
    </xf>
    <xf numFmtId="0" fontId="44" fillId="0" borderId="35" xfId="76" applyFont="1" applyBorder="1" applyAlignment="1">
      <alignment horizontal="center" vertical="center" wrapText="1"/>
    </xf>
    <xf numFmtId="0" fontId="44" fillId="0" borderId="2" xfId="119" applyFont="1" applyBorder="1" applyAlignment="1">
      <alignment horizontal="left" vertical="center"/>
    </xf>
    <xf numFmtId="0" fontId="44" fillId="0" borderId="35" xfId="119" applyFont="1" applyBorder="1" applyAlignment="1">
      <alignment horizontal="center" vertical="center"/>
    </xf>
    <xf numFmtId="0" fontId="44" fillId="0" borderId="35" xfId="76" applyFont="1" applyBorder="1" applyAlignment="1">
      <alignment horizontal="left" vertical="center" wrapText="1"/>
    </xf>
    <xf numFmtId="0" fontId="44" fillId="38" borderId="35" xfId="76" applyFont="1" applyFill="1" applyBorder="1" applyAlignment="1">
      <alignment horizontal="center" vertical="center" wrapText="1"/>
    </xf>
    <xf numFmtId="0" fontId="44" fillId="38" borderId="35" xfId="76" applyFont="1" applyFill="1" applyBorder="1" applyAlignment="1">
      <alignment horizontal="left" vertical="center" wrapText="1"/>
    </xf>
    <xf numFmtId="0" fontId="47" fillId="3" borderId="90" xfId="76" applyFont="1" applyFill="1" applyBorder="1" applyAlignment="1">
      <alignment horizontal="center" vertical="center" wrapText="1"/>
    </xf>
    <xf numFmtId="0" fontId="47" fillId="3" borderId="90" xfId="76" applyFont="1" applyFill="1" applyBorder="1" applyAlignment="1">
      <alignment horizontal="left" vertical="center" wrapText="1"/>
    </xf>
    <xf numFmtId="164" fontId="76" fillId="3" borderId="91" xfId="118" applyFont="1" applyFill="1" applyBorder="1" applyAlignment="1">
      <alignment horizontal="center" vertical="center" wrapText="1"/>
    </xf>
    <xf numFmtId="0" fontId="53" fillId="0" borderId="18" xfId="76" applyFont="1" applyBorder="1" applyAlignment="1">
      <alignment horizontal="center" vertical="center" wrapText="1"/>
    </xf>
    <xf numFmtId="0" fontId="53" fillId="0" borderId="18" xfId="76" applyFont="1" applyBorder="1" applyAlignment="1">
      <alignment horizontal="left" vertical="center" wrapText="1"/>
    </xf>
    <xf numFmtId="0" fontId="47" fillId="0" borderId="52" xfId="5" applyFont="1" applyBorder="1" applyAlignment="1">
      <alignment horizontal="center" vertical="center" wrapText="1"/>
    </xf>
    <xf numFmtId="0" fontId="47" fillId="0" borderId="54" xfId="5" applyFont="1" applyBorder="1" applyAlignment="1">
      <alignment horizontal="center" vertical="center" wrapText="1"/>
    </xf>
    <xf numFmtId="0" fontId="44" fillId="37" borderId="49" xfId="5" applyFont="1" applyFill="1" applyBorder="1" applyAlignment="1">
      <alignment horizontal="center" vertical="center" wrapText="1"/>
    </xf>
    <xf numFmtId="0" fontId="47" fillId="37" borderId="30" xfId="76" applyFont="1" applyFill="1" applyBorder="1" applyAlignment="1">
      <alignment horizontal="center" vertical="center" wrapText="1"/>
    </xf>
    <xf numFmtId="0" fontId="47" fillId="37" borderId="30" xfId="76" applyFont="1" applyFill="1" applyBorder="1" applyAlignment="1">
      <alignment horizontal="left" vertical="center" wrapText="1"/>
    </xf>
    <xf numFmtId="164" fontId="76" fillId="37" borderId="33" xfId="118" applyFont="1" applyFill="1" applyBorder="1" applyAlignment="1">
      <alignment horizontal="center" vertical="center" wrapText="1"/>
    </xf>
    <xf numFmtId="0" fontId="44" fillId="36" borderId="58" xfId="5" applyFont="1" applyFill="1" applyBorder="1" applyAlignment="1">
      <alignment horizontal="center" vertical="center" wrapText="1"/>
    </xf>
    <xf numFmtId="0" fontId="47" fillId="36" borderId="90" xfId="76" applyFont="1" applyFill="1" applyBorder="1" applyAlignment="1">
      <alignment horizontal="left" vertical="center" wrapText="1"/>
    </xf>
    <xf numFmtId="164" fontId="76" fillId="36" borderId="91" xfId="118" applyFont="1" applyFill="1" applyBorder="1" applyAlignment="1">
      <alignment horizontal="center" vertical="center" wrapText="1"/>
    </xf>
    <xf numFmtId="0" fontId="47" fillId="23" borderId="37" xfId="76" applyFont="1" applyFill="1" applyBorder="1" applyAlignment="1">
      <alignment horizontal="center" vertical="center" wrapText="1"/>
    </xf>
    <xf numFmtId="0" fontId="47" fillId="23" borderId="37" xfId="76" applyFont="1" applyFill="1" applyBorder="1" applyAlignment="1">
      <alignment horizontal="left" vertical="center" wrapText="1"/>
    </xf>
    <xf numFmtId="0" fontId="44" fillId="0" borderId="89" xfId="5" applyFont="1" applyBorder="1" applyAlignment="1">
      <alignment horizontal="center" vertical="center" wrapText="1"/>
    </xf>
    <xf numFmtId="0" fontId="47" fillId="23" borderId="18" xfId="76" applyFont="1" applyFill="1" applyBorder="1" applyAlignment="1">
      <alignment horizontal="center" vertical="center" wrapText="1"/>
    </xf>
    <xf numFmtId="0" fontId="47" fillId="23" borderId="18" xfId="76" applyFont="1" applyFill="1" applyBorder="1" applyAlignment="1">
      <alignment horizontal="left" vertical="center" wrapText="1"/>
    </xf>
    <xf numFmtId="0" fontId="47" fillId="0" borderId="37" xfId="76" applyFont="1" applyBorder="1" applyAlignment="1">
      <alignment horizontal="center" vertical="center" wrapText="1"/>
    </xf>
    <xf numFmtId="0" fontId="47" fillId="0" borderId="37" xfId="76" applyFont="1" applyBorder="1" applyAlignment="1">
      <alignment horizontal="left" vertical="center" wrapText="1"/>
    </xf>
    <xf numFmtId="0" fontId="47" fillId="0" borderId="18" xfId="76" applyFont="1" applyBorder="1" applyAlignment="1">
      <alignment horizontal="center" vertical="center" wrapText="1"/>
    </xf>
    <xf numFmtId="0" fontId="47" fillId="0" borderId="18" xfId="76" applyFont="1" applyBorder="1" applyAlignment="1">
      <alignment horizontal="left" vertical="center" wrapText="1"/>
    </xf>
    <xf numFmtId="0" fontId="53" fillId="23" borderId="37" xfId="76" applyFont="1" applyFill="1" applyBorder="1" applyAlignment="1">
      <alignment horizontal="center" vertical="center" wrapText="1"/>
    </xf>
    <xf numFmtId="0" fontId="53" fillId="23" borderId="37" xfId="76" applyFont="1" applyFill="1" applyBorder="1" applyAlignment="1">
      <alignment horizontal="left" vertical="center" wrapText="1"/>
    </xf>
    <xf numFmtId="0" fontId="53" fillId="0" borderId="6" xfId="76" applyFont="1" applyBorder="1" applyAlignment="1">
      <alignment horizontal="center" vertical="center" wrapText="1"/>
    </xf>
    <xf numFmtId="0" fontId="53" fillId="0" borderId="37" xfId="76" applyFont="1" applyBorder="1" applyAlignment="1">
      <alignment vertical="center" wrapText="1"/>
    </xf>
    <xf numFmtId="0" fontId="53" fillId="0" borderId="8" xfId="76" applyFont="1" applyBorder="1" applyAlignment="1">
      <alignment horizontal="center" vertical="center" wrapText="1"/>
    </xf>
    <xf numFmtId="0" fontId="53" fillId="0" borderId="8" xfId="76" applyFont="1" applyBorder="1" applyAlignment="1">
      <alignment horizontal="left" vertical="center" wrapText="1"/>
    </xf>
    <xf numFmtId="0" fontId="44" fillId="0" borderId="35" xfId="5" applyFont="1" applyBorder="1" applyAlignment="1">
      <alignment horizontal="center" vertical="center" wrapText="1"/>
    </xf>
    <xf numFmtId="0" fontId="53" fillId="0" borderId="35" xfId="76" applyFont="1" applyBorder="1" applyAlignment="1">
      <alignment horizontal="center" vertical="center" wrapText="1"/>
    </xf>
    <xf numFmtId="0" fontId="53" fillId="0" borderId="35" xfId="76" applyFont="1" applyBorder="1" applyAlignment="1">
      <alignment horizontal="left" vertical="center" wrapText="1"/>
    </xf>
    <xf numFmtId="0" fontId="47" fillId="36" borderId="90" xfId="76" applyFont="1" applyFill="1" applyBorder="1" applyAlignment="1">
      <alignment horizontal="center" vertical="center" wrapText="1"/>
    </xf>
    <xf numFmtId="0" fontId="44" fillId="36" borderId="52" xfId="5" applyFont="1" applyFill="1" applyBorder="1" applyAlignment="1">
      <alignment horizontal="center" vertical="center" wrapText="1"/>
    </xf>
    <xf numFmtId="0" fontId="47" fillId="36" borderId="37" xfId="76" applyFont="1" applyFill="1" applyBorder="1" applyAlignment="1">
      <alignment horizontal="center" vertical="center" wrapText="1"/>
    </xf>
    <xf numFmtId="0" fontId="47" fillId="23" borderId="52" xfId="5" applyFont="1" applyFill="1" applyBorder="1" applyAlignment="1">
      <alignment horizontal="center" vertical="center" wrapText="1"/>
    </xf>
    <xf numFmtId="0" fontId="53" fillId="23" borderId="6" xfId="76" applyFont="1" applyFill="1" applyBorder="1" applyAlignment="1">
      <alignment horizontal="center" vertical="center" wrapText="1"/>
    </xf>
    <xf numFmtId="0" fontId="53" fillId="23" borderId="37" xfId="76" applyFont="1" applyFill="1" applyBorder="1" applyAlignment="1">
      <alignment vertical="center" wrapText="1"/>
    </xf>
    <xf numFmtId="0" fontId="47" fillId="0" borderId="89" xfId="5" applyFont="1" applyBorder="1" applyAlignment="1">
      <alignment horizontal="center" vertical="center"/>
    </xf>
    <xf numFmtId="0" fontId="47" fillId="23" borderId="6" xfId="76" applyFont="1" applyFill="1" applyBorder="1" applyAlignment="1">
      <alignment horizontal="center" vertical="center" wrapText="1"/>
    </xf>
    <xf numFmtId="0" fontId="47" fillId="0" borderId="37" xfId="76" applyFont="1" applyBorder="1" applyAlignment="1">
      <alignment vertical="center" wrapText="1"/>
    </xf>
    <xf numFmtId="0" fontId="47" fillId="23" borderId="52" xfId="5" applyFont="1" applyFill="1" applyBorder="1" applyAlignment="1">
      <alignment horizontal="center" vertical="center"/>
    </xf>
    <xf numFmtId="0" fontId="44" fillId="23" borderId="6" xfId="76" applyFont="1" applyFill="1" applyBorder="1" applyAlignment="1">
      <alignment horizontal="center" vertical="center" wrapText="1"/>
    </xf>
    <xf numFmtId="0" fontId="53" fillId="0" borderId="35" xfId="119" applyFont="1" applyBorder="1" applyAlignment="1">
      <alignment vertical="center"/>
    </xf>
    <xf numFmtId="0" fontId="53" fillId="0" borderId="35" xfId="119" applyFont="1" applyBorder="1" applyAlignment="1">
      <alignment horizontal="center" vertical="center" wrapText="1"/>
    </xf>
    <xf numFmtId="0" fontId="53" fillId="0" borderId="35" xfId="119" applyFont="1" applyBorder="1" applyAlignment="1">
      <alignment vertical="center" wrapText="1"/>
    </xf>
    <xf numFmtId="0" fontId="47" fillId="0" borderId="89" xfId="5" applyFont="1" applyBorder="1" applyAlignment="1">
      <alignment horizontal="center" vertical="center" wrapText="1"/>
    </xf>
    <xf numFmtId="0" fontId="47" fillId="37" borderId="48" xfId="76" applyFont="1" applyFill="1" applyBorder="1" applyAlignment="1">
      <alignment horizontal="center" vertical="center" wrapText="1"/>
    </xf>
    <xf numFmtId="0" fontId="47" fillId="37" borderId="48" xfId="76" applyFont="1" applyFill="1" applyBorder="1" applyAlignment="1">
      <alignment horizontal="left" vertical="center" wrapText="1"/>
    </xf>
    <xf numFmtId="164" fontId="76" fillId="37" borderId="92" xfId="118" applyFont="1" applyFill="1" applyBorder="1" applyAlignment="1">
      <alignment horizontal="center" vertical="center" wrapText="1"/>
    </xf>
    <xf numFmtId="164" fontId="76" fillId="0" borderId="36" xfId="118" applyFont="1" applyBorder="1" applyAlignment="1">
      <alignment horizontal="center" vertical="center" wrapText="1"/>
    </xf>
    <xf numFmtId="49" fontId="46" fillId="22" borderId="0" xfId="4" applyNumberFormat="1" applyFont="1" applyFill="1" applyAlignment="1">
      <alignment vertical="center"/>
    </xf>
    <xf numFmtId="0" fontId="6" fillId="33" borderId="93" xfId="5" applyFont="1" applyFill="1" applyBorder="1" applyAlignment="1">
      <alignment horizontal="center" vertical="center" wrapText="1"/>
    </xf>
    <xf numFmtId="0" fontId="74" fillId="0" borderId="0" xfId="4" applyFont="1" applyAlignment="1">
      <alignment vertical="center"/>
    </xf>
    <xf numFmtId="43" fontId="71" fillId="0" borderId="11" xfId="1" applyFont="1" applyBorder="1" applyAlignment="1">
      <alignment horizontal="center" vertical="center" wrapText="1"/>
    </xf>
    <xf numFmtId="43" fontId="59" fillId="13" borderId="94" xfId="1" applyFont="1" applyFill="1" applyBorder="1" applyAlignment="1">
      <alignment horizontal="center" vertical="center"/>
    </xf>
    <xf numFmtId="0" fontId="60" fillId="0" borderId="0" xfId="79" applyFont="1"/>
    <xf numFmtId="0" fontId="7" fillId="0" borderId="0" xfId="79"/>
    <xf numFmtId="0" fontId="79" fillId="4" borderId="95" xfId="129" applyFont="1" applyFill="1" applyBorder="1" applyAlignment="1">
      <alignment horizontal="right" vertical="center"/>
    </xf>
    <xf numFmtId="43" fontId="81" fillId="0" borderId="95" xfId="1" applyFont="1" applyFill="1" applyBorder="1" applyAlignment="1">
      <alignment horizontal="right" vertical="center"/>
    </xf>
    <xf numFmtId="0" fontId="81" fillId="39" borderId="95" xfId="129" applyFont="1" applyFill="1" applyBorder="1" applyAlignment="1">
      <alignment vertical="center"/>
    </xf>
    <xf numFmtId="0" fontId="81" fillId="39" borderId="95" xfId="129" applyFont="1" applyFill="1" applyBorder="1" applyAlignment="1">
      <alignment horizontal="center" vertical="center"/>
    </xf>
    <xf numFmtId="43" fontId="83" fillId="39" borderId="95" xfId="1" applyFont="1" applyFill="1" applyBorder="1" applyAlignment="1">
      <alignment horizontal="right" vertical="center"/>
    </xf>
    <xf numFmtId="0" fontId="81" fillId="0" borderId="95" xfId="129" applyFont="1" applyBorder="1" applyAlignment="1">
      <alignment vertical="center"/>
    </xf>
    <xf numFmtId="0" fontId="66" fillId="6" borderId="95" xfId="129" applyFont="1" applyFill="1" applyBorder="1" applyAlignment="1">
      <alignment horizontal="left" vertical="center"/>
    </xf>
    <xf numFmtId="0" fontId="79" fillId="0" borderId="95" xfId="129" applyFont="1" applyBorder="1" applyAlignment="1">
      <alignment vertical="center"/>
    </xf>
    <xf numFmtId="0" fontId="79" fillId="0" borderId="95" xfId="129" applyFont="1" applyBorder="1" applyAlignment="1">
      <alignment horizontal="left" vertical="center"/>
    </xf>
    <xf numFmtId="37" fontId="81" fillId="39" borderId="95" xfId="130" applyNumberFormat="1" applyFont="1" applyFill="1" applyBorder="1" applyAlignment="1">
      <alignment horizontal="center" vertical="center"/>
    </xf>
    <xf numFmtId="3" fontId="60" fillId="0" borderId="0" xfId="79" applyNumberFormat="1" applyFont="1"/>
    <xf numFmtId="4" fontId="7" fillId="0" borderId="0" xfId="79" applyNumberFormat="1"/>
    <xf numFmtId="3" fontId="7" fillId="0" borderId="0" xfId="79" applyNumberFormat="1"/>
    <xf numFmtId="0" fontId="85" fillId="0" borderId="95" xfId="129" applyFont="1" applyBorder="1" applyAlignment="1">
      <alignment vertical="center"/>
    </xf>
    <xf numFmtId="164" fontId="7" fillId="0" borderId="0" xfId="79" applyNumberFormat="1"/>
    <xf numFmtId="0" fontId="86" fillId="13" borderId="95" xfId="129" applyFont="1" applyFill="1" applyBorder="1" applyAlignment="1">
      <alignment vertical="center"/>
    </xf>
    <xf numFmtId="0" fontId="87" fillId="0" borderId="95" xfId="129" applyFont="1" applyBorder="1" applyAlignment="1">
      <alignment vertical="center"/>
    </xf>
    <xf numFmtId="0" fontId="85" fillId="0" borderId="95" xfId="129" applyFont="1" applyBorder="1" applyAlignment="1">
      <alignment horizontal="left" vertical="center" wrapText="1"/>
    </xf>
    <xf numFmtId="0" fontId="85" fillId="0" borderId="95" xfId="129" applyFont="1" applyBorder="1" applyAlignment="1">
      <alignment horizontal="left" vertical="center"/>
    </xf>
    <xf numFmtId="0" fontId="7" fillId="0" borderId="0" xfId="79" applyAlignment="1">
      <alignment horizontal="right"/>
    </xf>
    <xf numFmtId="0" fontId="60" fillId="0" borderId="0" xfId="79" quotePrefix="1" applyFont="1"/>
    <xf numFmtId="0" fontId="81" fillId="0" borderId="95" xfId="129" applyFont="1" applyBorder="1" applyAlignment="1">
      <alignment horizontal="left" vertical="center"/>
    </xf>
    <xf numFmtId="0" fontId="81" fillId="0" borderId="95" xfId="129" applyFont="1" applyBorder="1" applyAlignment="1">
      <alignment vertical="center" wrapText="1"/>
    </xf>
    <xf numFmtId="0" fontId="83" fillId="0" borderId="95" xfId="129" applyFont="1" applyBorder="1" applyAlignment="1">
      <alignment horizontal="center" vertical="center"/>
    </xf>
    <xf numFmtId="0" fontId="79" fillId="0" borderId="95" xfId="129" applyFont="1" applyBorder="1" applyAlignment="1">
      <alignment horizontal="center" vertical="center"/>
    </xf>
    <xf numFmtId="0" fontId="81" fillId="0" borderId="96" xfId="129" applyFont="1" applyBorder="1" applyAlignment="1">
      <alignment horizontal="left" vertical="center"/>
    </xf>
    <xf numFmtId="0" fontId="81" fillId="0" borderId="96" xfId="129" applyFont="1" applyBorder="1" applyAlignment="1">
      <alignment horizontal="center" vertical="center"/>
    </xf>
    <xf numFmtId="0" fontId="8" fillId="0" borderId="0" xfId="79" applyFont="1" applyAlignment="1">
      <alignment vertical="center"/>
    </xf>
    <xf numFmtId="20" fontId="8" fillId="0" borderId="0" xfId="79" applyNumberFormat="1" applyFont="1" applyAlignment="1">
      <alignment horizontal="center" vertical="center"/>
    </xf>
    <xf numFmtId="0" fontId="6" fillId="0" borderId="0" xfId="79" applyFont="1" applyAlignment="1">
      <alignment vertical="center"/>
    </xf>
    <xf numFmtId="0" fontId="10" fillId="0" borderId="0" xfId="79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79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79" applyFont="1" applyBorder="1" applyAlignment="1">
      <alignment horizontal="center" vertical="center" wrapText="1"/>
    </xf>
    <xf numFmtId="0" fontId="6" fillId="0" borderId="0" xfId="79" applyFont="1" applyAlignment="1">
      <alignment horizontal="center" vertical="center" wrapText="1"/>
    </xf>
    <xf numFmtId="174" fontId="6" fillId="0" borderId="9" xfId="117" applyFont="1" applyBorder="1" applyAlignment="1">
      <alignment horizontal="left" vertical="center"/>
    </xf>
    <xf numFmtId="166" fontId="10" fillId="0" borderId="9" xfId="79" applyNumberFormat="1" applyFont="1" applyBorder="1" applyAlignment="1">
      <alignment horizontal="right" vertical="center" wrapText="1"/>
    </xf>
    <xf numFmtId="166" fontId="10" fillId="0" borderId="0" xfId="79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79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79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79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79" applyFont="1" applyAlignment="1">
      <alignment vertical="center"/>
    </xf>
    <xf numFmtId="166" fontId="13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4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97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7" fontId="10" fillId="0" borderId="98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77" fontId="10" fillId="0" borderId="98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77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7" fontId="10" fillId="0" borderId="99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91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97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101" xfId="1" applyNumberFormat="1" applyFont="1" applyFill="1" applyBorder="1" applyAlignment="1" applyProtection="1">
      <alignment horizontal="right" vertical="center"/>
    </xf>
    <xf numFmtId="175" fontId="11" fillId="2" borderId="101" xfId="1" applyNumberFormat="1" applyFont="1" applyFill="1" applyBorder="1" applyAlignment="1" applyProtection="1">
      <alignment horizontal="right" vertical="center"/>
    </xf>
    <xf numFmtId="10" fontId="11" fillId="3" borderId="57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79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79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79" applyNumberFormat="1" applyFont="1" applyBorder="1" applyAlignment="1">
      <alignment horizontal="right" vertical="center"/>
    </xf>
    <xf numFmtId="43" fontId="11" fillId="0" borderId="0" xfId="79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3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97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4" xfId="1" applyNumberFormat="1" applyFont="1" applyFill="1" applyBorder="1" applyAlignment="1" applyProtection="1">
      <alignment horizontal="right" vertical="center"/>
    </xf>
    <xf numFmtId="43" fontId="11" fillId="0" borderId="34" xfId="1" applyFont="1" applyBorder="1" applyAlignment="1" applyProtection="1">
      <alignment horizontal="right" vertical="center"/>
    </xf>
    <xf numFmtId="175" fontId="11" fillId="3" borderId="21" xfId="1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79" applyNumberFormat="1" applyFont="1" applyAlignment="1">
      <alignment vertical="center"/>
    </xf>
    <xf numFmtId="0" fontId="92" fillId="0" borderId="0" xfId="79" applyFont="1" applyAlignment="1">
      <alignment vertical="center"/>
    </xf>
    <xf numFmtId="0" fontId="8" fillId="0" borderId="0" xfId="79" applyFont="1" applyAlignment="1">
      <alignment horizontal="center" vertical="center"/>
    </xf>
    <xf numFmtId="164" fontId="49" fillId="0" borderId="0" xfId="4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" fontId="71" fillId="0" borderId="3" xfId="79" applyNumberFormat="1" applyFont="1" applyBorder="1" applyAlignment="1">
      <alignment horizontal="left" vertical="center" wrapText="1"/>
    </xf>
    <xf numFmtId="1" fontId="8" fillId="36" borderId="3" xfId="79" applyNumberFormat="1" applyFont="1" applyFill="1" applyBorder="1" applyAlignment="1">
      <alignment horizontal="left" vertical="center" wrapText="1"/>
    </xf>
    <xf numFmtId="1" fontId="71" fillId="0" borderId="3" xfId="79" quotePrefix="1" applyNumberFormat="1" applyFont="1" applyBorder="1" applyAlignment="1">
      <alignment horizontal="left" vertical="center" wrapText="1"/>
    </xf>
    <xf numFmtId="1" fontId="71" fillId="3" borderId="3" xfId="79" applyNumberFormat="1" applyFont="1" applyFill="1" applyBorder="1" applyAlignment="1">
      <alignment horizontal="left" vertical="center" wrapText="1"/>
    </xf>
    <xf numFmtId="43" fontId="0" fillId="0" borderId="0" xfId="0" applyNumberFormat="1"/>
    <xf numFmtId="1" fontId="71" fillId="0" borderId="11" xfId="79" applyNumberFormat="1" applyFont="1" applyBorder="1" applyAlignment="1">
      <alignment horizontal="left" vertical="center" wrapText="1"/>
    </xf>
    <xf numFmtId="1" fontId="71" fillId="37" borderId="3" xfId="79" applyNumberFormat="1" applyFont="1" applyFill="1" applyBorder="1" applyAlignment="1">
      <alignment horizontal="left" vertical="center" wrapText="1"/>
    </xf>
    <xf numFmtId="1" fontId="6" fillId="37" borderId="3" xfId="79" applyNumberFormat="1" applyFont="1" applyFill="1" applyBorder="1" applyAlignment="1">
      <alignment horizontal="left" vertical="center" wrapText="1"/>
    </xf>
    <xf numFmtId="164" fontId="0" fillId="0" borderId="0" xfId="0" applyNumberFormat="1"/>
    <xf numFmtId="4" fontId="0" fillId="0" borderId="0" xfId="0" applyNumberFormat="1"/>
    <xf numFmtId="177" fontId="81" fillId="0" borderId="95" xfId="1" applyNumberFormat="1" applyFont="1" applyBorder="1" applyAlignment="1">
      <alignment horizontal="right" vertical="center"/>
    </xf>
    <xf numFmtId="177" fontId="7" fillId="0" borderId="95" xfId="1" applyNumberFormat="1" applyFont="1" applyBorder="1" applyAlignment="1">
      <alignment vertical="center"/>
    </xf>
    <xf numFmtId="177" fontId="79" fillId="0" borderId="95" xfId="1" applyNumberFormat="1" applyFont="1" applyFill="1" applyBorder="1" applyAlignment="1">
      <alignment horizontal="right" vertical="center"/>
    </xf>
    <xf numFmtId="177" fontId="81" fillId="39" borderId="95" xfId="1" applyNumberFormat="1" applyFont="1" applyFill="1" applyBorder="1" applyAlignment="1">
      <alignment horizontal="right" vertical="center"/>
    </xf>
    <xf numFmtId="177" fontId="79" fillId="40" borderId="95" xfId="1" applyNumberFormat="1" applyFont="1" applyFill="1" applyBorder="1" applyAlignment="1">
      <alignment horizontal="right" vertical="center"/>
    </xf>
    <xf numFmtId="177" fontId="79" fillId="0" borderId="95" xfId="1" applyNumberFormat="1" applyFont="1" applyBorder="1" applyAlignment="1">
      <alignment horizontal="right" vertical="center"/>
    </xf>
    <xf numFmtId="177" fontId="81" fillId="13" borderId="95" xfId="1" applyNumberFormat="1" applyFont="1" applyFill="1" applyBorder="1" applyAlignment="1">
      <alignment horizontal="right" vertical="center"/>
    </xf>
    <xf numFmtId="177" fontId="87" fillId="0" borderId="95" xfId="1" applyNumberFormat="1" applyFont="1" applyBorder="1" applyAlignment="1">
      <alignment vertical="center"/>
    </xf>
    <xf numFmtId="177" fontId="81" fillId="0" borderId="95" xfId="1" applyNumberFormat="1" applyFont="1" applyFill="1" applyBorder="1" applyAlignment="1">
      <alignment horizontal="right" vertical="center"/>
    </xf>
    <xf numFmtId="177" fontId="82" fillId="39" borderId="95" xfId="1" applyNumberFormat="1" applyFont="1" applyFill="1" applyBorder="1" applyAlignment="1">
      <alignment horizontal="right" vertical="center"/>
    </xf>
    <xf numFmtId="177" fontId="81" fillId="40" borderId="95" xfId="1" applyNumberFormat="1" applyFont="1" applyFill="1" applyBorder="1" applyAlignment="1">
      <alignment horizontal="right" vertical="center"/>
    </xf>
    <xf numFmtId="177" fontId="83" fillId="39" borderId="95" xfId="1" applyNumberFormat="1" applyFont="1" applyFill="1" applyBorder="1" applyAlignment="1">
      <alignment horizontal="right" vertical="center"/>
    </xf>
    <xf numFmtId="177" fontId="83" fillId="0" borderId="95" xfId="1" applyNumberFormat="1" applyFont="1" applyFill="1" applyBorder="1" applyAlignment="1">
      <alignment horizontal="right" vertical="center"/>
    </xf>
    <xf numFmtId="177" fontId="59" fillId="13" borderId="94" xfId="1" applyNumberFormat="1" applyFont="1" applyFill="1" applyBorder="1" applyAlignment="1">
      <alignment horizontal="center" vertical="center"/>
    </xf>
    <xf numFmtId="177" fontId="80" fillId="0" borderId="95" xfId="1" applyNumberFormat="1" applyFont="1" applyFill="1" applyBorder="1" applyAlignment="1">
      <alignment horizontal="right" vertical="center"/>
    </xf>
    <xf numFmtId="177" fontId="61" fillId="0" borderId="95" xfId="1" applyNumberFormat="1" applyFont="1" applyBorder="1" applyAlignment="1">
      <alignment vertical="center"/>
    </xf>
    <xf numFmtId="177" fontId="88" fillId="0" borderId="95" xfId="1" applyNumberFormat="1" applyFont="1" applyBorder="1" applyAlignment="1">
      <alignment vertical="center"/>
    </xf>
    <xf numFmtId="177" fontId="89" fillId="0" borderId="95" xfId="1" applyNumberFormat="1" applyFont="1" applyBorder="1" applyAlignment="1">
      <alignment horizontal="right" vertical="center"/>
    </xf>
    <xf numFmtId="177" fontId="81" fillId="0" borderId="96" xfId="1" applyNumberFormat="1" applyFont="1" applyFill="1" applyBorder="1" applyAlignment="1">
      <alignment horizontal="right" vertical="center"/>
    </xf>
    <xf numFmtId="177" fontId="61" fillId="0" borderId="0" xfId="1" applyNumberFormat="1" applyFont="1"/>
    <xf numFmtId="164" fontId="7" fillId="0" borderId="0" xfId="0" applyNumberFormat="1" applyFont="1"/>
    <xf numFmtId="164" fontId="76" fillId="0" borderId="35" xfId="118" applyFont="1" applyFill="1" applyBorder="1" applyAlignment="1">
      <alignment horizontal="center" vertical="center" wrapText="1"/>
    </xf>
    <xf numFmtId="43" fontId="61" fillId="0" borderId="0" xfId="1" applyFont="1"/>
    <xf numFmtId="175" fontId="81" fillId="0" borderId="96" xfId="1" applyNumberFormat="1" applyFont="1" applyFill="1" applyBorder="1" applyAlignment="1">
      <alignment horizontal="right" vertical="center"/>
    </xf>
    <xf numFmtId="164" fontId="44" fillId="0" borderId="0" xfId="4" applyNumberFormat="1" applyFont="1" applyAlignment="1">
      <alignment vertical="center" wrapText="1"/>
    </xf>
    <xf numFmtId="0" fontId="94" fillId="0" borderId="33" xfId="0" applyFont="1" applyBorder="1" applyAlignment="1">
      <alignment horizontal="center" vertical="center" wrapText="1"/>
    </xf>
    <xf numFmtId="0" fontId="94" fillId="0" borderId="102" xfId="0" applyFont="1" applyBorder="1" applyAlignment="1">
      <alignment horizontal="justify" vertical="center" wrapText="1"/>
    </xf>
    <xf numFmtId="3" fontId="87" fillId="0" borderId="103" xfId="0" applyNumberFormat="1" applyFont="1" applyBorder="1" applyAlignment="1">
      <alignment horizontal="right" vertical="center" wrapText="1"/>
    </xf>
    <xf numFmtId="10" fontId="87" fillId="0" borderId="103" xfId="0" applyNumberFormat="1" applyFont="1" applyBorder="1" applyAlignment="1">
      <alignment horizontal="right" vertical="center" wrapText="1"/>
    </xf>
    <xf numFmtId="164" fontId="87" fillId="0" borderId="103" xfId="0" applyNumberFormat="1" applyFont="1" applyBorder="1" applyAlignment="1">
      <alignment horizontal="right" vertical="center" wrapText="1"/>
    </xf>
    <xf numFmtId="0" fontId="94" fillId="0" borderId="104" xfId="0" applyFont="1" applyBorder="1" applyAlignment="1">
      <alignment horizontal="justify" vertical="center" wrapText="1"/>
    </xf>
    <xf numFmtId="0" fontId="94" fillId="0" borderId="102" xfId="0" applyFont="1" applyBorder="1" applyAlignment="1">
      <alignment vertical="center" wrapText="1"/>
    </xf>
    <xf numFmtId="0" fontId="94" fillId="0" borderId="104" xfId="0" applyFont="1" applyBorder="1" applyAlignment="1">
      <alignment vertical="center" wrapText="1"/>
    </xf>
    <xf numFmtId="3" fontId="0" fillId="0" borderId="0" xfId="0" applyNumberFormat="1"/>
    <xf numFmtId="10" fontId="10" fillId="0" borderId="0" xfId="3" applyNumberFormat="1" applyFont="1" applyFill="1" applyBorder="1" applyAlignment="1" applyProtection="1">
      <alignment horizontal="left"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0" fontId="5" fillId="0" borderId="30" xfId="79" applyFont="1" applyBorder="1" applyAlignment="1">
      <alignment horizontal="center" vertical="center" wrapText="1"/>
    </xf>
    <xf numFmtId="0" fontId="5" fillId="0" borderId="31" xfId="79" applyFont="1" applyBorder="1" applyAlignment="1">
      <alignment horizontal="center" vertical="center" wrapText="1"/>
    </xf>
    <xf numFmtId="3" fontId="11" fillId="0" borderId="21" xfId="79" applyNumberFormat="1" applyFont="1" applyBorder="1" applyAlignment="1">
      <alignment horizontal="center" vertical="center"/>
    </xf>
    <xf numFmtId="3" fontId="11" fillId="0" borderId="55" xfId="79" applyNumberFormat="1" applyFont="1" applyBorder="1" applyAlignment="1">
      <alignment horizontal="center" vertical="center"/>
    </xf>
    <xf numFmtId="174" fontId="90" fillId="0" borderId="23" xfId="117" applyFont="1" applyBorder="1" applyAlignment="1">
      <alignment horizontal="center" vertical="center" wrapText="1"/>
    </xf>
    <xf numFmtId="174" fontId="90" fillId="0" borderId="24" xfId="117" applyFont="1" applyBorder="1" applyAlignment="1">
      <alignment horizontal="center" vertical="center" wrapText="1"/>
    </xf>
    <xf numFmtId="174" fontId="90" fillId="0" borderId="90" xfId="117" applyFont="1" applyBorder="1" applyAlignment="1">
      <alignment horizontal="center" vertical="center" wrapText="1"/>
    </xf>
    <xf numFmtId="174" fontId="90" fillId="0" borderId="97" xfId="117" applyFont="1" applyBorder="1" applyAlignment="1">
      <alignment horizontal="center" vertical="center" wrapText="1"/>
    </xf>
    <xf numFmtId="174" fontId="90" fillId="0" borderId="0" xfId="117" applyFont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34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1" xfId="1" applyFont="1" applyFill="1" applyBorder="1" applyAlignment="1" applyProtection="1">
      <alignment vertical="center"/>
    </xf>
    <xf numFmtId="43" fontId="11" fillId="2" borderId="34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0" xfId="1" applyFont="1" applyFill="1" applyBorder="1" applyAlignment="1" applyProtection="1">
      <alignment horizontal="left"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43" fontId="90" fillId="0" borderId="23" xfId="1" applyFont="1" applyFill="1" applyBorder="1" applyAlignment="1">
      <alignment horizontal="center" vertical="center" wrapText="1"/>
    </xf>
    <xf numFmtId="43" fontId="90" fillId="0" borderId="24" xfId="1" applyFont="1" applyFill="1" applyBorder="1" applyAlignment="1">
      <alignment horizontal="center" vertical="center" wrapText="1"/>
    </xf>
    <xf numFmtId="43" fontId="90" fillId="0" borderId="90" xfId="1" applyFont="1" applyFill="1" applyBorder="1" applyAlignment="1">
      <alignment horizontal="center" vertical="center" wrapText="1"/>
    </xf>
    <xf numFmtId="43" fontId="90" fillId="0" borderId="97" xfId="1" applyFont="1" applyFill="1" applyBorder="1" applyAlignment="1">
      <alignment horizontal="center" vertical="center" wrapText="1"/>
    </xf>
    <xf numFmtId="43" fontId="90" fillId="0" borderId="0" xfId="1" applyFont="1" applyFill="1" applyBorder="1" applyAlignment="1">
      <alignment horizontal="center" vertical="center" wrapText="1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4" xfId="1" quotePrefix="1" applyNumberFormat="1" applyFont="1" applyFill="1" applyBorder="1" applyAlignment="1" applyProtection="1">
      <alignment horizontal="center" vertical="center" wrapText="1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0" fontId="78" fillId="13" borderId="94" xfId="129" applyFont="1" applyFill="1" applyBorder="1" applyAlignment="1">
      <alignment horizontal="left" vertical="center"/>
    </xf>
    <xf numFmtId="164" fontId="42" fillId="22" borderId="27" xfId="115" applyFont="1" applyFill="1" applyBorder="1" applyAlignment="1">
      <alignment horizontal="center" vertical="center"/>
    </xf>
    <xf numFmtId="0" fontId="63" fillId="0" borderId="0" xfId="79" applyFont="1" applyAlignment="1">
      <alignment horizontal="center" vertical="center" wrapText="1"/>
    </xf>
    <xf numFmtId="43" fontId="6" fillId="33" borderId="3" xfId="1" applyFont="1" applyFill="1" applyBorder="1" applyAlignment="1" applyProtection="1">
      <alignment horizontal="center" vertical="center" wrapText="1"/>
    </xf>
    <xf numFmtId="0" fontId="59" fillId="33" borderId="3" xfId="0" applyFont="1" applyFill="1" applyBorder="1" applyAlignment="1">
      <alignment horizontal="center"/>
    </xf>
    <xf numFmtId="0" fontId="64" fillId="34" borderId="87" xfId="79" applyFont="1" applyFill="1" applyBorder="1" applyAlignment="1">
      <alignment horizontal="center" vertical="center"/>
    </xf>
    <xf numFmtId="0" fontId="64" fillId="34" borderId="70" xfId="79" applyFont="1" applyFill="1" applyBorder="1" applyAlignment="1">
      <alignment horizontal="center" vertical="center"/>
    </xf>
    <xf numFmtId="49" fontId="64" fillId="34" borderId="84" xfId="79" applyNumberFormat="1" applyFont="1" applyFill="1" applyBorder="1" applyAlignment="1">
      <alignment horizontal="center" vertical="center" wrapText="1"/>
    </xf>
    <xf numFmtId="49" fontId="64" fillId="34" borderId="85" xfId="79" applyNumberFormat="1" applyFont="1" applyFill="1" applyBorder="1" applyAlignment="1">
      <alignment horizontal="center" vertical="center" wrapText="1"/>
    </xf>
    <xf numFmtId="49" fontId="64" fillId="34" borderId="86" xfId="79" applyNumberFormat="1" applyFont="1" applyFill="1" applyBorder="1" applyAlignment="1">
      <alignment horizontal="center" vertical="center" wrapText="1"/>
    </xf>
    <xf numFmtId="49" fontId="64" fillId="34" borderId="62" xfId="79" applyNumberFormat="1" applyFont="1" applyFill="1" applyBorder="1" applyAlignment="1">
      <alignment horizontal="center" vertical="center" wrapText="1"/>
    </xf>
    <xf numFmtId="49" fontId="64" fillId="34" borderId="65" xfId="79" applyNumberFormat="1" applyFont="1" applyFill="1" applyBorder="1" applyAlignment="1">
      <alignment horizontal="center" vertical="center" wrapText="1"/>
    </xf>
    <xf numFmtId="49" fontId="64" fillId="34" borderId="69" xfId="79" applyNumberFormat="1" applyFont="1" applyFill="1" applyBorder="1" applyAlignment="1">
      <alignment horizontal="center" vertical="center" wrapText="1"/>
    </xf>
  </cellXfs>
  <cellStyles count="131">
    <cellStyle name="20% - Colore 1 2" xfId="6"/>
    <cellStyle name="20% - Colore 2 2" xfId="7"/>
    <cellStyle name="20% - Colore 3 2" xfId="8"/>
    <cellStyle name="20% - Colore 4 2" xfId="9"/>
    <cellStyle name="20% - Colore 5 2" xfId="10"/>
    <cellStyle name="20% - Colore 6 2" xfId="11"/>
    <cellStyle name="40% - Colore 1 2" xfId="12"/>
    <cellStyle name="40% - Colore 2 2" xfId="13"/>
    <cellStyle name="40% - Colore 3 2" xfId="14"/>
    <cellStyle name="40% - Colore 4 2" xfId="15"/>
    <cellStyle name="40% - Colore 5 2" xfId="16"/>
    <cellStyle name="40% - Colore 6 2" xfId="17"/>
    <cellStyle name="60% - Colore 1 2" xfId="18"/>
    <cellStyle name="60% - Colore 2 2" xfId="19"/>
    <cellStyle name="60% - Colore 3 2" xfId="20"/>
    <cellStyle name="60% - Colore 4 2" xfId="21"/>
    <cellStyle name="60% - Colore 5 2" xfId="22"/>
    <cellStyle name="60% - Colore 6 2" xfId="23"/>
    <cellStyle name="Calcolo 2" xfId="24"/>
    <cellStyle name="Cella collegata 2" xfId="25"/>
    <cellStyle name="Cella da controllare 2" xfId="26"/>
    <cellStyle name="Collegamento ipertestual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all7_pdc" xfId="34"/>
    <cellStyle name="Comma 2" xfId="35"/>
    <cellStyle name="Comma 2 2" xfId="36"/>
    <cellStyle name="Comma_all7_pdc" xfId="37"/>
    <cellStyle name="Currency [0]_all7_pdc" xfId="38"/>
    <cellStyle name="Currency_all7_pdc" xfId="39"/>
    <cellStyle name="Euro" xfId="40"/>
    <cellStyle name="Euro 2" xfId="41"/>
    <cellStyle name="Euro 3" xfId="42"/>
    <cellStyle name="Euro 4" xfId="43"/>
    <cellStyle name="Euro 5" xfId="44"/>
    <cellStyle name="Euro 6" xfId="45"/>
    <cellStyle name="Euro 7" xfId="46"/>
    <cellStyle name="Euro 8" xfId="47"/>
    <cellStyle name="Euro_allegato tabelle I report 2012" xfId="48"/>
    <cellStyle name="Input 2" xfId="49"/>
    <cellStyle name="Migliaia" xfId="1" builtinId="3"/>
    <cellStyle name="Migliaia (0)_% Attrezzature ed Edilizia" xfId="50"/>
    <cellStyle name="Migliaia [0]" xfId="2" builtinId="6"/>
    <cellStyle name="Migliaia [0] 2" xfId="51"/>
    <cellStyle name="Migliaia [0] 2 2" xfId="52"/>
    <cellStyle name="Migliaia [0] 3" xfId="53"/>
    <cellStyle name="Migliaia [0] 3 2" xfId="54"/>
    <cellStyle name="Migliaia [0] 4" xfId="55"/>
    <cellStyle name="Migliaia [0] 5" xfId="56"/>
    <cellStyle name="Migliaia [0] 6" xfId="57"/>
    <cellStyle name="Migliaia [0] 7" xfId="126"/>
    <cellStyle name="Migliaia [0] 8 2" xfId="58"/>
    <cellStyle name="Migliaia 10" xfId="125"/>
    <cellStyle name="Migliaia 11" xfId="59"/>
    <cellStyle name="Migliaia 2" xfId="60"/>
    <cellStyle name="Migliaia 2 2" xfId="61"/>
    <cellStyle name="Migliaia 2 3" xfId="62"/>
    <cellStyle name="Migliaia 2 4" xfId="63"/>
    <cellStyle name="Migliaia 2_AOTS_Organizzazione_31-12-2011" xfId="64"/>
    <cellStyle name="Migliaia 3" xfId="65"/>
    <cellStyle name="Migliaia 3 2" xfId="66"/>
    <cellStyle name="Migliaia 3_AOTS_Organizzazione_31-12-2011" xfId="67"/>
    <cellStyle name="Migliaia 4" xfId="68"/>
    <cellStyle name="Migliaia 4 2" xfId="69"/>
    <cellStyle name="Migliaia 5" xfId="70"/>
    <cellStyle name="Migliaia 6" xfId="71"/>
    <cellStyle name="Migliaia 6 2" xfId="118"/>
    <cellStyle name="Migliaia 7" xfId="72"/>
    <cellStyle name="Migliaia 8" xfId="73"/>
    <cellStyle name="Migliaia 9" xfId="115"/>
    <cellStyle name="Migliaia 9 2" xfId="74"/>
    <cellStyle name="Neutrale 2" xfId="75"/>
    <cellStyle name="Normal 12" xfId="116"/>
    <cellStyle name="Normal 2" xfId="76"/>
    <cellStyle name="Normal_all7_pdc" xfId="77"/>
    <cellStyle name="Normal_Sheet1 2" xfId="5"/>
    <cellStyle name="Normale" xfId="0" builtinId="0"/>
    <cellStyle name="Normale 10" xfId="120"/>
    <cellStyle name="Normale 11" xfId="122"/>
    <cellStyle name="Normale 12" xfId="124"/>
    <cellStyle name="Normale 19 2" xfId="123"/>
    <cellStyle name="Normale 2" xfId="78"/>
    <cellStyle name="Normale 2 2" xfId="79"/>
    <cellStyle name="Normale 2_1 BILANCIO AOU" xfId="80"/>
    <cellStyle name="Normale 20" xfId="121"/>
    <cellStyle name="Normale 3" xfId="81"/>
    <cellStyle name="Normale 3 2" xfId="82"/>
    <cellStyle name="Normale 3 3" xfId="83"/>
    <cellStyle name="Normale 4" xfId="84"/>
    <cellStyle name="Normale 5" xfId="85"/>
    <cellStyle name="Normale 6" xfId="86"/>
    <cellStyle name="Normale 6 2" xfId="87"/>
    <cellStyle name="Normale 7" xfId="88"/>
    <cellStyle name="Normale 7 2" xfId="89"/>
    <cellStyle name="Normale 7 3" xfId="119"/>
    <cellStyle name="Normale 7_Allegati 1-2def" xfId="90"/>
    <cellStyle name="Normale 8" xfId="91"/>
    <cellStyle name="Normale 9" xfId="92"/>
    <cellStyle name="Normale_FLUSSI FINANZIARI" xfId="129"/>
    <cellStyle name="Normale_Mattone CE_Budget 2008 (v. 0.5 del 12.02.2008) 2" xfId="4"/>
    <cellStyle name="Normale_Mattone CE_Budget 2008 (v. 0.5 del 12.02.2008) 2 2" xfId="128"/>
    <cellStyle name="Normale_modelloDCF2004bottoni" xfId="130"/>
    <cellStyle name="Nota 2" xfId="93"/>
    <cellStyle name="Output 2" xfId="94"/>
    <cellStyle name="Percent 2" xfId="95"/>
    <cellStyle name="Percent 3" xfId="96"/>
    <cellStyle name="Percentuale" xfId="3" builtinId="5"/>
    <cellStyle name="Percentuale 2" xfId="97"/>
    <cellStyle name="Percentuale 2 2" xfId="98"/>
    <cellStyle name="Percentuale 2 3" xfId="99"/>
    <cellStyle name="Percentuale 3" xfId="127"/>
    <cellStyle name="Percentuale 4" xfId="100"/>
    <cellStyle name="SAS FM Row drillable header" xfId="101"/>
    <cellStyle name="SAS FM Row header" xfId="102"/>
    <cellStyle name="Testo avviso 2" xfId="103"/>
    <cellStyle name="Testo descrittivo 2" xfId="104"/>
    <cellStyle name="Titolo 1 2" xfId="105"/>
    <cellStyle name="Titolo 2 2" xfId="106"/>
    <cellStyle name="Titolo 3 2" xfId="107"/>
    <cellStyle name="Titolo 4 2" xfId="108"/>
    <cellStyle name="Titolo 5" xfId="109"/>
    <cellStyle name="Titolo 6" xfId="117"/>
    <cellStyle name="Totale 2" xfId="110"/>
    <cellStyle name="Valore non valido 2" xfId="111"/>
    <cellStyle name="Valore valido 2" xfId="112"/>
    <cellStyle name="Valuta (0)_% Attrezzature ed Edilizia" xfId="113"/>
    <cellStyle name="Valuta 2" xfId="114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CONSUNTIVO 2023 ARCS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Foglio3!$B$1</c:f>
              <c:strCache>
                <c:ptCount val="1"/>
                <c:pt idx="0">
                  <c:v>CONSUNTIVO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5F-4F4B-AED9-26239B50DA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5F-4F4B-AED9-26239B50DA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5F-4F4B-AED9-26239B50DA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5F-4F4B-AED9-26239B50DA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5F-4F4B-AED9-26239B50DA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5F-4F4B-AED9-26239B50DA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5F-4F4B-AED9-26239B50DA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5F-4F4B-AED9-26239B50DAA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5F-4F4B-AED9-26239B50DAA6}"/>
              </c:ext>
            </c:extLst>
          </c:dPt>
          <c:cat>
            <c:strRef>
              <c:f>Foglio3!$A$2:$A$10</c:f>
              <c:strCache>
                <c:ptCount val="9"/>
                <c:pt idx="0">
                  <c:v>IMMOBILIZZAZIONI</c:v>
                </c:pt>
                <c:pt idx="1">
                  <c:v>RIMANENZE</c:v>
                </c:pt>
                <c:pt idx="2">
                  <c:v>CREDITI</c:v>
                </c:pt>
                <c:pt idx="3">
                  <c:v>DISPONIBILITA' LIQUIDE</c:v>
                </c:pt>
                <c:pt idx="4">
                  <c:v>RATEI E RISCONTI ATTIVI</c:v>
                </c:pt>
                <c:pt idx="5">
                  <c:v>PATRIMONIO NETTO</c:v>
                </c:pt>
                <c:pt idx="6">
                  <c:v>FONDI PER RISCHI ED ONERI</c:v>
                </c:pt>
                <c:pt idx="7">
                  <c:v>DEBITI</c:v>
                </c:pt>
                <c:pt idx="8">
                  <c:v>RATEI E RISCONTI PASSIVI </c:v>
                </c:pt>
              </c:strCache>
            </c:strRef>
          </c:cat>
          <c:val>
            <c:numRef>
              <c:f>Foglio3!$B$2:$B$10</c:f>
              <c:numCache>
                <c:formatCode>#,##0</c:formatCode>
                <c:ptCount val="9"/>
                <c:pt idx="0">
                  <c:v>421699</c:v>
                </c:pt>
                <c:pt idx="1">
                  <c:v>65966511</c:v>
                </c:pt>
                <c:pt idx="2">
                  <c:v>148663910</c:v>
                </c:pt>
                <c:pt idx="3">
                  <c:v>32808726</c:v>
                </c:pt>
                <c:pt idx="4">
                  <c:v>1841599</c:v>
                </c:pt>
                <c:pt idx="5">
                  <c:v>7340659</c:v>
                </c:pt>
                <c:pt idx="6">
                  <c:v>72214520</c:v>
                </c:pt>
                <c:pt idx="7">
                  <c:v>170147266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C-467A-99CA-C2A86A22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CONSUNTIVO 2023 ASUFC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'CONFRONTO ARCS ASUFC'!$B$1</c:f>
              <c:strCache>
                <c:ptCount val="1"/>
                <c:pt idx="0">
                  <c:v>CONSUNTIVO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A5-4DF9-87CF-38C3BDD56E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A5-4DF9-87CF-38C3BDD56E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A5-4DF9-87CF-38C3BDD56E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A5-4DF9-87CF-38C3BDD56E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A5-4DF9-87CF-38C3BDD56E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8A5-4DF9-87CF-38C3BDD56E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8A5-4DF9-87CF-38C3BDD56E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A5-4DF9-87CF-38C3BDD56E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A5-4DF9-87CF-38C3BDD56ECC}"/>
              </c:ext>
            </c:extLst>
          </c:dPt>
          <c:cat>
            <c:strRef>
              <c:f>'CONFRONTO ARCS ASUFC'!$A$2:$A$10</c:f>
              <c:strCache>
                <c:ptCount val="9"/>
                <c:pt idx="0">
                  <c:v>IMMOBILIZZAZIONI</c:v>
                </c:pt>
                <c:pt idx="1">
                  <c:v>RIMANENZE</c:v>
                </c:pt>
                <c:pt idx="2">
                  <c:v>CREDITI</c:v>
                </c:pt>
                <c:pt idx="3">
                  <c:v>DISPONIBILITA' LIQUIDE</c:v>
                </c:pt>
                <c:pt idx="4">
                  <c:v>RATEI E RISCONTI ATTIVI</c:v>
                </c:pt>
                <c:pt idx="5">
                  <c:v>PATRIMONIO NETTO</c:v>
                </c:pt>
                <c:pt idx="6">
                  <c:v>FONDI PER RISCHI ED ONERI</c:v>
                </c:pt>
                <c:pt idx="7">
                  <c:v>DEBITI</c:v>
                </c:pt>
                <c:pt idx="8">
                  <c:v>RATEI E RISCONTI PASSIVI </c:v>
                </c:pt>
              </c:strCache>
            </c:strRef>
          </c:cat>
          <c:val>
            <c:numRef>
              <c:f>'CONFRONTO ARCS ASUFC'!$B$2:$B$10</c:f>
              <c:numCache>
                <c:formatCode>#,##0</c:formatCode>
                <c:ptCount val="9"/>
                <c:pt idx="0">
                  <c:v>438447300</c:v>
                </c:pt>
                <c:pt idx="1">
                  <c:v>2687134</c:v>
                </c:pt>
                <c:pt idx="2">
                  <c:v>463018690</c:v>
                </c:pt>
                <c:pt idx="3">
                  <c:v>314396581</c:v>
                </c:pt>
                <c:pt idx="4">
                  <c:v>21926</c:v>
                </c:pt>
                <c:pt idx="5">
                  <c:v>710768240</c:v>
                </c:pt>
                <c:pt idx="6">
                  <c:v>88714145</c:v>
                </c:pt>
                <c:pt idx="7">
                  <c:v>418878236</c:v>
                </c:pt>
                <c:pt idx="8">
                  <c:v>211008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A5-4DF9-87CF-38C3BDD56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CONSUNTIVO 2023 ARCS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'CONFRONTO ARCS ASUFC'!$B$14</c:f>
              <c:strCache>
                <c:ptCount val="1"/>
                <c:pt idx="0">
                  <c:v>CONSUNTIVO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7-4235-9525-ABED94EC6C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7-4235-9525-ABED94EC6C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7-4235-9525-ABED94EC6C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B7-4235-9525-ABED94EC6C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B7-4235-9525-ABED94EC6C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B7-4235-9525-ABED94EC6C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B7-4235-9525-ABED94EC6C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EB7-4235-9525-ABED94EC6C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EB7-4235-9525-ABED94EC6C81}"/>
              </c:ext>
            </c:extLst>
          </c:dPt>
          <c:cat>
            <c:strRef>
              <c:f>'CONFRONTO ARCS ASUFC'!$A$15:$A$23</c:f>
              <c:strCache>
                <c:ptCount val="9"/>
                <c:pt idx="0">
                  <c:v>IMMOBILIZZAZIONI</c:v>
                </c:pt>
                <c:pt idx="1">
                  <c:v>RIMANENZE</c:v>
                </c:pt>
                <c:pt idx="2">
                  <c:v>CREDITI</c:v>
                </c:pt>
                <c:pt idx="3">
                  <c:v>DISPONIBILITA' LIQUIDE</c:v>
                </c:pt>
                <c:pt idx="4">
                  <c:v>RATEI E RISCONTI ATTIVI</c:v>
                </c:pt>
                <c:pt idx="5">
                  <c:v>PATRIMONIO NETTO</c:v>
                </c:pt>
                <c:pt idx="6">
                  <c:v>FONDI PER RISCHI ED ONERI</c:v>
                </c:pt>
                <c:pt idx="7">
                  <c:v>DEBITI</c:v>
                </c:pt>
                <c:pt idx="8">
                  <c:v>RATEI E RISCONTI PASSIVI </c:v>
                </c:pt>
              </c:strCache>
            </c:strRef>
          </c:cat>
          <c:val>
            <c:numRef>
              <c:f>'CONFRONTO ARCS ASUFC'!$B$15:$B$23</c:f>
              <c:numCache>
                <c:formatCode>#,##0</c:formatCode>
                <c:ptCount val="9"/>
                <c:pt idx="0">
                  <c:v>421699</c:v>
                </c:pt>
                <c:pt idx="1">
                  <c:v>65966511</c:v>
                </c:pt>
                <c:pt idx="2">
                  <c:v>148663910</c:v>
                </c:pt>
                <c:pt idx="3">
                  <c:v>32808726</c:v>
                </c:pt>
                <c:pt idx="4">
                  <c:v>1841599</c:v>
                </c:pt>
                <c:pt idx="5">
                  <c:v>7340659</c:v>
                </c:pt>
                <c:pt idx="6">
                  <c:v>72214520</c:v>
                </c:pt>
                <c:pt idx="7">
                  <c:v>170147266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9-44A5-A8D5-EED8465F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495300</xdr:rowOff>
    </xdr:from>
    <xdr:to>
      <xdr:col>13</xdr:col>
      <xdr:colOff>438150</xdr:colOff>
      <xdr:row>12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1DC45A-76C4-7563-7039-D41C71AD5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13</xdr:col>
      <xdr:colOff>352426</xdr:colOff>
      <xdr:row>12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121DECE-4EE0-4FB7-8BB0-DE2B6D6CB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12</xdr:row>
      <xdr:rowOff>95250</xdr:rowOff>
    </xdr:from>
    <xdr:to>
      <xdr:col>13</xdr:col>
      <xdr:colOff>476250</xdr:colOff>
      <xdr:row>27</xdr:row>
      <xdr:rowOff>38100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1E286A-873D-321B-ED59-5A64F20F8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F/EGAS%2005_2016/BILANCIO/BILANCIO%202022/Esercizio%202022/Documenti%20per%20Decreto/8.Alimentazione%20SP%20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.silvioli\Desktop\Copia%20di%20BdV%20-%2029.04%20-%20ore%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F/EGAS%2005_2016/BILANCIO/BILANCIO%202022/Esercizio%202022/Documenti%20per%20Decreto/10.Alimentazione%20CE%20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SSR/2023/15.%20Consolidato%20consuntivo%202023/1.%20Indicazioni%20di%20chiusura%20parte%20ARCS/TABELLE%20ECONOMICHE%20E%20MONITORAGGIO%20DGR%201244/SCHEMA%20BILANCIO%20ASCOT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F/EGAS%2005_2016/BILANCIO/BILANCIO%202023/Esercizio%202023/Documenti%20per%20decreto/SCHEMI%20BILANCIO%20H-ERP%20%202023%20agg.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SP P"/>
    </sheetNames>
    <sheetDataSet>
      <sheetData sheetId="0">
        <row r="102">
          <cell r="H102">
            <v>104934.77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Patrimoniale"/>
      <sheetName val="economico"/>
    </sheetNames>
    <sheetDataSet>
      <sheetData sheetId="0"/>
      <sheetData sheetId="1">
        <row r="1">
          <cell r="B1" t="str">
            <v>Conto</v>
          </cell>
        </row>
      </sheetData>
      <sheetData sheetId="2">
        <row r="2">
          <cell r="B2">
            <v>600100100100000</v>
          </cell>
          <cell r="C2" t="str">
            <v>Finanziamento indistinto</v>
          </cell>
          <cell r="D2">
            <v>11407289.529999999</v>
          </cell>
          <cell r="E2">
            <v>29903924.199999999</v>
          </cell>
          <cell r="F2">
            <v>18496634.670000002</v>
          </cell>
        </row>
        <row r="3">
          <cell r="B3">
            <v>600100100200000</v>
          </cell>
          <cell r="C3" t="str">
            <v>Finanziamento indistinto finalizzato da Regione</v>
          </cell>
          <cell r="D3">
            <v>2411121</v>
          </cell>
          <cell r="E3">
            <v>35654155.840000004</v>
          </cell>
          <cell r="F3">
            <v>33243034.84</v>
          </cell>
        </row>
        <row r="4">
          <cell r="B4">
            <v>600100100302000</v>
          </cell>
          <cell r="C4" t="str">
            <v>Funzioni Altro</v>
          </cell>
          <cell r="D4">
            <v>0</v>
          </cell>
          <cell r="E4">
            <v>2781000</v>
          </cell>
          <cell r="F4">
            <v>2781000</v>
          </cell>
        </row>
        <row r="5">
          <cell r="B5">
            <v>600200100104000</v>
          </cell>
          <cell r="C5" t="str">
            <v>Contributi da Regione o Prov. Aut. (extra fondo) - vincolati a progetti ministeriali</v>
          </cell>
          <cell r="D5">
            <v>0</v>
          </cell>
          <cell r="E5">
            <v>48800</v>
          </cell>
          <cell r="F5">
            <v>48800</v>
          </cell>
        </row>
        <row r="6">
          <cell r="B6">
            <v>600200100108000</v>
          </cell>
          <cell r="C6" t="str">
            <v>Altri contributi da Regione o Prov. Aut. (extra fondo) vincolati - sanità</v>
          </cell>
          <cell r="D6">
            <v>242000</v>
          </cell>
          <cell r="E6">
            <v>6968687.8399999999</v>
          </cell>
          <cell r="F6">
            <v>6726687.8399999999</v>
          </cell>
        </row>
        <row r="7">
          <cell r="B7">
            <v>600200300050000</v>
          </cell>
          <cell r="C7" t="str">
            <v>Contributi da Ministero della Salute  (extra fondo)</v>
          </cell>
          <cell r="D7">
            <v>200800</v>
          </cell>
          <cell r="E7">
            <v>660632.11</v>
          </cell>
          <cell r="F7">
            <v>459832.11</v>
          </cell>
        </row>
        <row r="8">
          <cell r="B8">
            <v>600200300108000</v>
          </cell>
          <cell r="C8" t="str">
            <v>Altri contributi da altri soggetti pubblici (extra fondo) vincolati - attività sanitaria</v>
          </cell>
          <cell r="D8">
            <v>0</v>
          </cell>
          <cell r="E8">
            <v>1383403.2</v>
          </cell>
          <cell r="F8">
            <v>1383403.2</v>
          </cell>
        </row>
        <row r="9">
          <cell r="B9">
            <v>620050000000000</v>
          </cell>
          <cell r="C9" t="str">
            <v>Utilizzo fondi per quote inutilizzate contributi di esercizi precedenti da Regione o Prov. Aut. per quota F.S. regionale indistinto finalizzato</v>
          </cell>
          <cell r="D9">
            <v>0</v>
          </cell>
          <cell r="E9">
            <v>677835.75</v>
          </cell>
          <cell r="F9">
            <v>677835.75</v>
          </cell>
        </row>
        <row r="10">
          <cell r="B10">
            <v>620200000000000</v>
          </cell>
          <cell r="C10" t="str">
            <v>Utilizzo fondi per quote inutilizzate contributi di esercizi precedenti da soggetti pubblici (extra fondo) vincolati</v>
          </cell>
          <cell r="D10">
            <v>0</v>
          </cell>
          <cell r="E10">
            <v>27764.99</v>
          </cell>
          <cell r="F10">
            <v>27764.99</v>
          </cell>
        </row>
        <row r="11">
          <cell r="B11">
            <v>630100100911000</v>
          </cell>
          <cell r="C11" t="str">
            <v>Consulenze sanitarie  - Az. sanitarie pubb. della Regione</v>
          </cell>
          <cell r="D11">
            <v>0</v>
          </cell>
          <cell r="E11">
            <v>599.41999999999996</v>
          </cell>
          <cell r="F11">
            <v>599.41999999999996</v>
          </cell>
        </row>
        <row r="12">
          <cell r="B12">
            <v>630100100909000</v>
          </cell>
          <cell r="C12" t="str">
            <v>Altre prestazioni sanitarie e socio-sanitarie a rilevanza sanitaria  - Az. sanitarie pubb. della Regione</v>
          </cell>
          <cell r="D12">
            <v>63195.79</v>
          </cell>
          <cell r="E12">
            <v>63195.79</v>
          </cell>
          <cell r="F12">
            <v>0</v>
          </cell>
        </row>
        <row r="13">
          <cell r="B13">
            <v>630100200000000</v>
          </cell>
          <cell r="C13" t="str">
            <v>Ricavi per prestaz. sanitarie e sociosanitarie a rilevanza sanitaria erogate ad altri soggetti pubblici</v>
          </cell>
          <cell r="D13">
            <v>2294.56</v>
          </cell>
          <cell r="E13">
            <v>13187.56</v>
          </cell>
          <cell r="F13">
            <v>10893</v>
          </cell>
        </row>
        <row r="14">
          <cell r="B14">
            <v>630300400000000</v>
          </cell>
          <cell r="C14" t="str">
            <v>Consulenze</v>
          </cell>
          <cell r="D14">
            <v>0</v>
          </cell>
          <cell r="E14">
            <v>61499</v>
          </cell>
          <cell r="F14">
            <v>61499</v>
          </cell>
        </row>
        <row r="15">
          <cell r="B15">
            <v>630300700000000</v>
          </cell>
          <cell r="C15" t="str">
            <v>Sperimentazioni</v>
          </cell>
          <cell r="D15">
            <v>12904</v>
          </cell>
          <cell r="E15">
            <v>174006</v>
          </cell>
          <cell r="F15">
            <v>161102</v>
          </cell>
        </row>
        <row r="16">
          <cell r="B16">
            <v>640100000000000</v>
          </cell>
          <cell r="C16" t="str">
            <v>Rimborsi assicurativi</v>
          </cell>
          <cell r="D16">
            <v>0</v>
          </cell>
          <cell r="E16">
            <v>1106.94</v>
          </cell>
          <cell r="F16">
            <v>1106.94</v>
          </cell>
        </row>
        <row r="17">
          <cell r="B17">
            <v>640200200000000</v>
          </cell>
          <cell r="C17" t="str">
            <v>Altri concorsi, recuperi e rimborsi da parte della Regione</v>
          </cell>
          <cell r="D17">
            <v>5</v>
          </cell>
          <cell r="E17">
            <v>5</v>
          </cell>
          <cell r="F17">
            <v>0</v>
          </cell>
        </row>
        <row r="18">
          <cell r="B18">
            <v>640300100000000</v>
          </cell>
          <cell r="C18" t="str">
            <v>Rimborso degli oneri stipendiali del personale dipendente dell'azienda in posizione di comando presso Aziende sanitarie pubbliche della Regione</v>
          </cell>
          <cell r="D18">
            <v>0</v>
          </cell>
          <cell r="E18">
            <v>45358.65</v>
          </cell>
          <cell r="F18">
            <v>45358.65</v>
          </cell>
        </row>
        <row r="19">
          <cell r="B19">
            <v>640300200000000</v>
          </cell>
          <cell r="C19" t="str">
            <v>Rimborsi per acquisto beni da parte di Aziende sanitarie pubbliche della Regione</v>
          </cell>
          <cell r="D19">
            <v>16328224.449999999</v>
          </cell>
          <cell r="E19">
            <v>447545773.39999998</v>
          </cell>
          <cell r="F19">
            <v>431217548.94999999</v>
          </cell>
        </row>
        <row r="20">
          <cell r="B20">
            <v>640300300200000</v>
          </cell>
          <cell r="C20" t="str">
            <v>Consulenze non sanitarie  - Az. sanitarie pubb. della Regione</v>
          </cell>
          <cell r="D20">
            <v>0</v>
          </cell>
          <cell r="E20">
            <v>8520</v>
          </cell>
          <cell r="F20">
            <v>8520</v>
          </cell>
        </row>
        <row r="21">
          <cell r="B21">
            <v>640300300900000</v>
          </cell>
          <cell r="C21" t="str">
            <v>Altri concorsi, recuperi e rimborsi  - Az. sanitarie pubb. della Regione</v>
          </cell>
          <cell r="D21">
            <v>489664.69</v>
          </cell>
          <cell r="E21">
            <v>2256826.13</v>
          </cell>
          <cell r="F21">
            <v>1767161.44</v>
          </cell>
        </row>
        <row r="22">
          <cell r="B22">
            <v>640300300100000</v>
          </cell>
          <cell r="C22" t="str">
            <v>Prestazioni amministrative e gestionali - Az. sanitarie pubb. della Regione</v>
          </cell>
          <cell r="D22">
            <v>0</v>
          </cell>
          <cell r="E22">
            <v>8498932.5800000001</v>
          </cell>
          <cell r="F22">
            <v>8498932.5800000001</v>
          </cell>
        </row>
        <row r="23">
          <cell r="B23">
            <v>640400100000000</v>
          </cell>
          <cell r="C23" t="str">
            <v>Rimborso degli oneri stipendiali del personale dipendente dell'azienda in posizione di comando presso altri soggetti pubblici</v>
          </cell>
          <cell r="D23">
            <v>0</v>
          </cell>
          <cell r="E23">
            <v>257537.95</v>
          </cell>
          <cell r="F23">
            <v>257537.95</v>
          </cell>
        </row>
        <row r="24">
          <cell r="B24">
            <v>640400200000000</v>
          </cell>
          <cell r="C24" t="str">
            <v>Rimborsi per acquisto beni da parte di altri soggetti pubblici</v>
          </cell>
          <cell r="D24">
            <v>49.6</v>
          </cell>
          <cell r="E24">
            <v>420957.84</v>
          </cell>
          <cell r="F24">
            <v>420908.24</v>
          </cell>
        </row>
        <row r="25">
          <cell r="B25">
            <v>640400300900000</v>
          </cell>
          <cell r="C25" t="str">
            <v>Altri concorsi, recuperi e rimborsi da parte di altri soggetti pubblici</v>
          </cell>
          <cell r="D25">
            <v>20891</v>
          </cell>
          <cell r="E25">
            <v>23610.09</v>
          </cell>
          <cell r="F25">
            <v>2719.09</v>
          </cell>
        </row>
        <row r="26">
          <cell r="B26">
            <v>640500200150000</v>
          </cell>
          <cell r="C26" t="str">
            <v>Da parte del personale nelle spese per vitto, vestiario e alloggio</v>
          </cell>
          <cell r="D26">
            <v>0</v>
          </cell>
          <cell r="E26">
            <v>27071.33</v>
          </cell>
          <cell r="F26">
            <v>27071.33</v>
          </cell>
        </row>
        <row r="27">
          <cell r="B27">
            <v>640500200250000</v>
          </cell>
          <cell r="C27" t="str">
            <v>Rimborso spese di bollo</v>
          </cell>
          <cell r="D27">
            <v>270.32</v>
          </cell>
          <cell r="E27">
            <v>20856.32</v>
          </cell>
          <cell r="F27">
            <v>20586</v>
          </cell>
        </row>
        <row r="28">
          <cell r="B28">
            <v>640500200350000</v>
          </cell>
          <cell r="C28" t="str">
            <v>Recupero spese legali</v>
          </cell>
          <cell r="D28">
            <v>0</v>
          </cell>
          <cell r="E28">
            <v>105226.68</v>
          </cell>
          <cell r="F28">
            <v>105226.68</v>
          </cell>
        </row>
        <row r="29">
          <cell r="B29">
            <v>640500200450000</v>
          </cell>
          <cell r="C29" t="str">
            <v>Recupero spese postali</v>
          </cell>
          <cell r="D29">
            <v>2</v>
          </cell>
          <cell r="E29">
            <v>2</v>
          </cell>
          <cell r="F29">
            <v>0</v>
          </cell>
        </row>
        <row r="30">
          <cell r="B30">
            <v>640500200500000</v>
          </cell>
          <cell r="C30" t="str">
            <v>Tasse ammissione concorsi</v>
          </cell>
          <cell r="D30">
            <v>248.93</v>
          </cell>
          <cell r="E30">
            <v>49480.7</v>
          </cell>
          <cell r="F30">
            <v>49231.77</v>
          </cell>
        </row>
        <row r="31">
          <cell r="B31">
            <v>640500200900000</v>
          </cell>
          <cell r="C31" t="str">
            <v>Altri concorsi, recuperi e rimborsi da privati</v>
          </cell>
          <cell r="D31">
            <v>331296.39</v>
          </cell>
          <cell r="E31">
            <v>1323563.3899999999</v>
          </cell>
          <cell r="F31">
            <v>992267</v>
          </cell>
        </row>
        <row r="32">
          <cell r="B32">
            <v>660200000000000</v>
          </cell>
          <cell r="C32" t="str">
            <v>Quota imputata all'esercizio dei finanziamenti per investimenti da Regione</v>
          </cell>
          <cell r="D32">
            <v>0</v>
          </cell>
          <cell r="E32">
            <v>162903.45000000001</v>
          </cell>
          <cell r="F32">
            <v>162903.45000000001</v>
          </cell>
        </row>
        <row r="33">
          <cell r="B33">
            <v>660600000000000</v>
          </cell>
          <cell r="C33" t="str">
            <v>Quota imputata all'esercizio di altre poste del patrimonio netto</v>
          </cell>
          <cell r="D33">
            <v>0</v>
          </cell>
          <cell r="E33">
            <v>0.18</v>
          </cell>
          <cell r="F33">
            <v>0.18</v>
          </cell>
        </row>
        <row r="34">
          <cell r="B34">
            <v>680300900000000</v>
          </cell>
          <cell r="C34" t="str">
            <v>Altri proventi diversi</v>
          </cell>
          <cell r="D34">
            <v>0</v>
          </cell>
          <cell r="E34">
            <v>9190.73</v>
          </cell>
          <cell r="F34">
            <v>9190.73</v>
          </cell>
        </row>
        <row r="35">
          <cell r="B35">
            <v>300100100100000</v>
          </cell>
          <cell r="C35" t="str">
            <v>Medicinali con AIC, ad eccezione di vaccini, emoderivati di produzione regionale, ossigeno e altri gas medicali</v>
          </cell>
          <cell r="D35">
            <v>322363619.25</v>
          </cell>
          <cell r="E35">
            <v>6749753.7699999996</v>
          </cell>
          <cell r="F35">
            <v>-315613865.48000002</v>
          </cell>
        </row>
        <row r="36">
          <cell r="B36">
            <v>300100100110000</v>
          </cell>
          <cell r="C36" t="str">
            <v>IVA indetraibile acquisti intercompany per medicinali con AIC</v>
          </cell>
          <cell r="D36">
            <v>2395.33</v>
          </cell>
          <cell r="E36">
            <v>2394.33</v>
          </cell>
          <cell r="F36">
            <v>-1</v>
          </cell>
        </row>
        <row r="37">
          <cell r="B37">
            <v>300100100200000</v>
          </cell>
          <cell r="C37" t="str">
            <v>Medicinali senza AIC</v>
          </cell>
          <cell r="D37">
            <v>3534875.4</v>
          </cell>
          <cell r="E37">
            <v>131499.85</v>
          </cell>
          <cell r="F37">
            <v>-3403375.55</v>
          </cell>
        </row>
        <row r="38">
          <cell r="B38">
            <v>300100100210000</v>
          </cell>
          <cell r="C38" t="str">
            <v>IVA indetraibile acquisti intercompany per medicinali senza AIC</v>
          </cell>
          <cell r="D38">
            <v>9.76</v>
          </cell>
          <cell r="E38">
            <v>7.49</v>
          </cell>
          <cell r="F38">
            <v>-2.27</v>
          </cell>
        </row>
        <row r="39">
          <cell r="B39">
            <v>300100300100000</v>
          </cell>
          <cell r="C39" t="str">
            <v>Dispositivi medici</v>
          </cell>
          <cell r="D39">
            <v>89603911.310000002</v>
          </cell>
          <cell r="E39">
            <v>997500.57</v>
          </cell>
          <cell r="F39">
            <v>-88606410.739999995</v>
          </cell>
        </row>
        <row r="40">
          <cell r="B40">
            <v>300100300110000</v>
          </cell>
          <cell r="C40" t="str">
            <v>IVA indetraibile acquisti intercompany per dispositivi medici</v>
          </cell>
          <cell r="D40">
            <v>9195.73</v>
          </cell>
          <cell r="E40">
            <v>9002.5499999999993</v>
          </cell>
          <cell r="F40">
            <v>-193.18</v>
          </cell>
        </row>
        <row r="41">
          <cell r="B41">
            <v>300100300200000</v>
          </cell>
          <cell r="C41" t="str">
            <v>Dispositivi medici impiantabili attivi</v>
          </cell>
          <cell r="D41">
            <v>799001.09</v>
          </cell>
          <cell r="E41">
            <v>11967.05</v>
          </cell>
          <cell r="F41">
            <v>-787034.04</v>
          </cell>
        </row>
        <row r="42">
          <cell r="B42">
            <v>300100300300000</v>
          </cell>
          <cell r="C42" t="str">
            <v>Dispositivi medico diagnostici in vitro (IVD)</v>
          </cell>
          <cell r="D42">
            <v>6387282.9400000004</v>
          </cell>
          <cell r="E42">
            <v>123397.8</v>
          </cell>
          <cell r="F42">
            <v>-6263885.1399999997</v>
          </cell>
        </row>
        <row r="43">
          <cell r="B43">
            <v>300100300310000</v>
          </cell>
          <cell r="C43" t="str">
            <v>IVA indetraibile acquisti intercompany per dispositivi medico diagnostici in vitro (IVD)</v>
          </cell>
          <cell r="D43">
            <v>15.42</v>
          </cell>
          <cell r="E43">
            <v>13.63</v>
          </cell>
          <cell r="F43">
            <v>-1.79</v>
          </cell>
        </row>
        <row r="44">
          <cell r="B44">
            <v>300100400000000</v>
          </cell>
          <cell r="C44" t="str">
            <v>Prodotti dietetici</v>
          </cell>
          <cell r="D44">
            <v>2384731.7200000002</v>
          </cell>
          <cell r="E44">
            <v>30622.69</v>
          </cell>
          <cell r="F44">
            <v>-2354109.0299999998</v>
          </cell>
        </row>
        <row r="45">
          <cell r="B45">
            <v>300100500000000</v>
          </cell>
          <cell r="C45" t="str">
            <v>Materiali per la profilassi (vaccini)</v>
          </cell>
          <cell r="D45">
            <v>16940282.329999998</v>
          </cell>
          <cell r="E45">
            <v>1131766.6200000001</v>
          </cell>
          <cell r="F45">
            <v>-15808515.710000001</v>
          </cell>
        </row>
        <row r="46">
          <cell r="B46">
            <v>300100500100000</v>
          </cell>
          <cell r="C46" t="str">
            <v>IVA indetraibile acquisti intercompany per materiali per la profilassi (vaccini)</v>
          </cell>
          <cell r="D46">
            <v>160345.04999999999</v>
          </cell>
          <cell r="E46">
            <v>160345.04999999999</v>
          </cell>
          <cell r="F46">
            <v>0</v>
          </cell>
        </row>
        <row r="47">
          <cell r="B47">
            <v>300100600000000</v>
          </cell>
          <cell r="C47" t="str">
            <v>Prodotti chimici</v>
          </cell>
          <cell r="D47">
            <v>14884.1</v>
          </cell>
          <cell r="E47">
            <v>90</v>
          </cell>
          <cell r="F47">
            <v>-14794.1</v>
          </cell>
        </row>
        <row r="48">
          <cell r="B48">
            <v>300100700000000</v>
          </cell>
          <cell r="C48" t="str">
            <v>Materiali e prodotti per uso veterinario</v>
          </cell>
          <cell r="D48">
            <v>47970.41</v>
          </cell>
          <cell r="E48">
            <v>576.77</v>
          </cell>
          <cell r="F48">
            <v>-47393.64</v>
          </cell>
        </row>
        <row r="49">
          <cell r="B49">
            <v>300100800000000</v>
          </cell>
          <cell r="C49" t="str">
            <v>Altri beni e prodotti sanitari</v>
          </cell>
          <cell r="D49">
            <v>3208059.94</v>
          </cell>
          <cell r="E49">
            <v>112256.31</v>
          </cell>
          <cell r="F49">
            <v>-3095803.63</v>
          </cell>
        </row>
        <row r="50">
          <cell r="B50">
            <v>300100800100000</v>
          </cell>
          <cell r="C50" t="str">
            <v>IVA indetraibile acquisti intercompany per altri beni e prodotti sanitari</v>
          </cell>
          <cell r="D50">
            <v>136.44</v>
          </cell>
          <cell r="E50">
            <v>136.44</v>
          </cell>
          <cell r="F50">
            <v>0</v>
          </cell>
        </row>
        <row r="51">
          <cell r="B51">
            <v>300100900100000</v>
          </cell>
          <cell r="C51" t="str">
            <v>Medicinali con AIC, ad eccezione di vaccini ed emoderivati di produzione regionale  - Az. sanitarie pubb. della Regione</v>
          </cell>
          <cell r="D51">
            <v>37122.339999999997</v>
          </cell>
          <cell r="E51">
            <v>37122.339999999997</v>
          </cell>
          <cell r="F51">
            <v>0</v>
          </cell>
        </row>
        <row r="52">
          <cell r="B52">
            <v>300100900150000</v>
          </cell>
          <cell r="C52" t="str">
            <v>Medicinali senza AIC - Az. sanitarie pubb. della Regione</v>
          </cell>
          <cell r="D52">
            <v>153.38</v>
          </cell>
          <cell r="E52">
            <v>153.38</v>
          </cell>
          <cell r="F52">
            <v>0</v>
          </cell>
        </row>
        <row r="53">
          <cell r="B53">
            <v>300100900300000</v>
          </cell>
          <cell r="C53" t="str">
            <v>Dispositivi medici  - Az. sanitarie pubb. della Regione</v>
          </cell>
          <cell r="D53">
            <v>102580.12</v>
          </cell>
          <cell r="E53">
            <v>102580.12</v>
          </cell>
          <cell r="F53">
            <v>0</v>
          </cell>
        </row>
        <row r="54">
          <cell r="B54">
            <v>300100900400000</v>
          </cell>
          <cell r="C54" t="str">
            <v>Dispositivi medico diagnostici in vitro (IVD) - Az. sanitarie pubb. della Regione</v>
          </cell>
          <cell r="D54">
            <v>173.36</v>
          </cell>
          <cell r="E54">
            <v>173.36</v>
          </cell>
          <cell r="F54">
            <v>0</v>
          </cell>
        </row>
        <row r="55">
          <cell r="B55">
            <v>300100900500000</v>
          </cell>
          <cell r="C55" t="str">
            <v>Materiali per la profilassi (vaccini) - Az. sanitarie pubb. della Regione</v>
          </cell>
          <cell r="D55">
            <v>1603450.45</v>
          </cell>
          <cell r="E55">
            <v>1603450.45</v>
          </cell>
          <cell r="F55">
            <v>0</v>
          </cell>
        </row>
        <row r="56">
          <cell r="B56">
            <v>300100900900000</v>
          </cell>
          <cell r="C56" t="str">
            <v>Altri beni e prodotti sanitari  - Az. sanitarie pubb. della Regione</v>
          </cell>
          <cell r="D56">
            <v>1653.56</v>
          </cell>
          <cell r="E56">
            <v>1653.56</v>
          </cell>
          <cell r="F56">
            <v>0</v>
          </cell>
        </row>
        <row r="57">
          <cell r="B57">
            <v>300200100000000</v>
          </cell>
          <cell r="C57" t="str">
            <v>Prodotti alimentari</v>
          </cell>
          <cell r="D57">
            <v>92085.32</v>
          </cell>
          <cell r="E57">
            <v>610.75</v>
          </cell>
          <cell r="F57">
            <v>-91474.57</v>
          </cell>
        </row>
        <row r="58">
          <cell r="B58">
            <v>300200100100000</v>
          </cell>
          <cell r="C58" t="str">
            <v>IVA indetraibile acquisti intercompany per prodotti alimentari</v>
          </cell>
          <cell r="D58">
            <v>38.58</v>
          </cell>
          <cell r="E58">
            <v>11.81</v>
          </cell>
          <cell r="F58">
            <v>-26.77</v>
          </cell>
        </row>
        <row r="59">
          <cell r="B59">
            <v>300200200000000</v>
          </cell>
          <cell r="C59" t="str">
            <v>Materiali di guardaroba, di pulizia e di convivenza in genere</v>
          </cell>
          <cell r="D59">
            <v>4695133.9400000004</v>
          </cell>
          <cell r="E59">
            <v>59424.13</v>
          </cell>
          <cell r="F59">
            <v>-4635709.8099999996</v>
          </cell>
        </row>
        <row r="60">
          <cell r="B60">
            <v>300200200100000</v>
          </cell>
          <cell r="C60" t="str">
            <v>IVA indetraibile acquisti intercompany per materiali di guardaroba, di pulizia e di convivenza in genere</v>
          </cell>
          <cell r="D60">
            <v>677.03</v>
          </cell>
          <cell r="E60">
            <v>266.43</v>
          </cell>
          <cell r="F60">
            <v>-410.6</v>
          </cell>
        </row>
        <row r="61">
          <cell r="B61">
            <v>300200300000000</v>
          </cell>
          <cell r="C61" t="str">
            <v>Combustibili, carburanti e lubrificanti</v>
          </cell>
          <cell r="D61">
            <v>6092.42</v>
          </cell>
          <cell r="E61">
            <v>0</v>
          </cell>
          <cell r="F61">
            <v>-6092.42</v>
          </cell>
        </row>
        <row r="62">
          <cell r="B62">
            <v>300200400100000</v>
          </cell>
          <cell r="C62" t="str">
            <v>Cancelleria e stampati</v>
          </cell>
          <cell r="D62">
            <v>1553260.64</v>
          </cell>
          <cell r="E62">
            <v>30718.46</v>
          </cell>
          <cell r="F62">
            <v>-1522542.18</v>
          </cell>
        </row>
        <row r="63">
          <cell r="B63">
            <v>300200400200000</v>
          </cell>
          <cell r="C63" t="str">
            <v>Materiali di consumo per l'informatica</v>
          </cell>
          <cell r="D63">
            <v>1059925.1399999999</v>
          </cell>
          <cell r="E63">
            <v>20602.240000000002</v>
          </cell>
          <cell r="F63">
            <v>-1039322.9</v>
          </cell>
        </row>
        <row r="64">
          <cell r="B64">
            <v>300200400300000</v>
          </cell>
          <cell r="C64" t="str">
            <v>Materiale didattico, audiovisivo e fotografico</v>
          </cell>
          <cell r="D64">
            <v>4185.3999999999996</v>
          </cell>
          <cell r="E64">
            <v>0</v>
          </cell>
          <cell r="F64">
            <v>-4185.3999999999996</v>
          </cell>
        </row>
        <row r="65">
          <cell r="B65">
            <v>300200400400000</v>
          </cell>
          <cell r="C65" t="str">
            <v>IVA indetraibile acquisti intercompany per supporti informatici e cancelleria</v>
          </cell>
          <cell r="D65">
            <v>1711.09</v>
          </cell>
          <cell r="E65">
            <v>637.64</v>
          </cell>
          <cell r="F65">
            <v>-1073.45</v>
          </cell>
        </row>
        <row r="66">
          <cell r="B66">
            <v>300200500100000</v>
          </cell>
          <cell r="C66" t="str">
            <v>Materiali ed accessori per beni sanitari</v>
          </cell>
          <cell r="D66">
            <v>2323.5</v>
          </cell>
          <cell r="E66">
            <v>0</v>
          </cell>
          <cell r="F66">
            <v>-2323.5</v>
          </cell>
        </row>
        <row r="67">
          <cell r="B67">
            <v>300200500200000</v>
          </cell>
          <cell r="C67" t="str">
            <v>Materiali ed accessori per beni non sanitari</v>
          </cell>
          <cell r="D67">
            <v>1450.43</v>
          </cell>
          <cell r="E67">
            <v>83</v>
          </cell>
          <cell r="F67">
            <v>-1367.43</v>
          </cell>
        </row>
        <row r="68">
          <cell r="B68">
            <v>300200600000000</v>
          </cell>
          <cell r="C68" t="str">
            <v>Altri beni e prodotti non sanitari</v>
          </cell>
          <cell r="D68">
            <v>68923.3</v>
          </cell>
          <cell r="E68">
            <v>1778.83</v>
          </cell>
          <cell r="F68">
            <v>-67144.47</v>
          </cell>
        </row>
        <row r="69">
          <cell r="B69">
            <v>300200600100000</v>
          </cell>
          <cell r="C69" t="str">
            <v>IVA indetraibile acquisti intercompany per altri beni e prodotti non sanitari</v>
          </cell>
          <cell r="D69">
            <v>12.31</v>
          </cell>
          <cell r="E69">
            <v>8.7100000000000009</v>
          </cell>
          <cell r="F69">
            <v>-3.6</v>
          </cell>
        </row>
        <row r="70">
          <cell r="B70">
            <v>300200700400000</v>
          </cell>
          <cell r="C70" t="str">
            <v>Supporti informatici e cancelleria - Az. sanitarie pubb. della Regione</v>
          </cell>
          <cell r="D70">
            <v>11448.03</v>
          </cell>
          <cell r="E70">
            <v>11448.03</v>
          </cell>
          <cell r="F70">
            <v>0</v>
          </cell>
        </row>
        <row r="71">
          <cell r="B71">
            <v>300200700900000</v>
          </cell>
          <cell r="C71" t="str">
            <v>Altri beni e prodotti non sanitari  - Az. sanitarie pubb. della Regione</v>
          </cell>
          <cell r="D71">
            <v>104.33</v>
          </cell>
          <cell r="E71">
            <v>104.33</v>
          </cell>
          <cell r="F71">
            <v>0</v>
          </cell>
        </row>
        <row r="72">
          <cell r="B72">
            <v>300200700200000</v>
          </cell>
          <cell r="C72" t="str">
            <v>Materiali di guardaroba, di pulizia e di convivenza in genere - Az. sanitarie pubb. della Regione</v>
          </cell>
          <cell r="D72">
            <v>5693.49</v>
          </cell>
          <cell r="E72">
            <v>5693.49</v>
          </cell>
          <cell r="F72">
            <v>0</v>
          </cell>
        </row>
        <row r="73">
          <cell r="B73">
            <v>300200700100000</v>
          </cell>
          <cell r="C73" t="str">
            <v>Prodotti alimentari - Az. sanitarie pubb. della Regione</v>
          </cell>
          <cell r="D73">
            <v>241.05</v>
          </cell>
          <cell r="E73">
            <v>241.05</v>
          </cell>
          <cell r="F73">
            <v>0</v>
          </cell>
        </row>
        <row r="74">
          <cell r="B74">
            <v>305100100101000</v>
          </cell>
          <cell r="C74" t="str">
            <v>Prodotti farmaceutici e galenici</v>
          </cell>
          <cell r="D74">
            <v>7.0000000000000007E-2</v>
          </cell>
          <cell r="E74">
            <v>7.0000000000000007E-2</v>
          </cell>
          <cell r="F74">
            <v>0</v>
          </cell>
        </row>
        <row r="75">
          <cell r="B75">
            <v>305100150503000</v>
          </cell>
          <cell r="C75" t="str">
            <v>Servizi sanitari per assistenza specialistica da Case di Cura private</v>
          </cell>
          <cell r="D75">
            <v>237.97</v>
          </cell>
          <cell r="E75">
            <v>0</v>
          </cell>
          <cell r="F75">
            <v>-237.97</v>
          </cell>
        </row>
        <row r="76">
          <cell r="B76">
            <v>305100650605000</v>
          </cell>
          <cell r="C76" t="str">
            <v>Compartecipazione al personale per att. libero professionale intramoenia - Altro</v>
          </cell>
          <cell r="D76">
            <v>18484.23</v>
          </cell>
          <cell r="E76">
            <v>18484.23</v>
          </cell>
          <cell r="F76">
            <v>0</v>
          </cell>
        </row>
        <row r="77">
          <cell r="B77">
            <v>305100650609000</v>
          </cell>
          <cell r="C77" t="str">
            <v>Oneri su compartecipazione per att. libero  professionale intramoenia - Altr</v>
          </cell>
          <cell r="D77">
            <v>4399.26</v>
          </cell>
          <cell r="E77">
            <v>0</v>
          </cell>
          <cell r="F77">
            <v>-4399.26</v>
          </cell>
        </row>
        <row r="78">
          <cell r="B78">
            <v>305100700100000</v>
          </cell>
          <cell r="C78" t="str">
            <v>Contributi ad associazioni di volontariato</v>
          </cell>
          <cell r="D78">
            <v>2275663.12</v>
          </cell>
          <cell r="E78">
            <v>0</v>
          </cell>
          <cell r="F78">
            <v>-2275663.12</v>
          </cell>
        </row>
        <row r="79">
          <cell r="B79">
            <v>305100700503500</v>
          </cell>
          <cell r="C79" t="str">
            <v>Contributi ad enti</v>
          </cell>
          <cell r="D79">
            <v>8300</v>
          </cell>
          <cell r="E79">
            <v>0</v>
          </cell>
          <cell r="F79">
            <v>-8300</v>
          </cell>
        </row>
        <row r="80">
          <cell r="B80">
            <v>305100700504000</v>
          </cell>
          <cell r="C80" t="str">
            <v>Rimborsi per responsabilità civile</v>
          </cell>
          <cell r="D80">
            <v>58300.06</v>
          </cell>
          <cell r="E80">
            <v>0</v>
          </cell>
          <cell r="F80">
            <v>-58300.06</v>
          </cell>
        </row>
        <row r="81">
          <cell r="B81">
            <v>305100700504500</v>
          </cell>
          <cell r="C81" t="str">
            <v>Rimborsi per attività delegate della Regione</v>
          </cell>
          <cell r="D81">
            <v>63411.34</v>
          </cell>
          <cell r="E81">
            <v>0</v>
          </cell>
          <cell r="F81">
            <v>-63411.34</v>
          </cell>
        </row>
        <row r="82">
          <cell r="B82">
            <v>305100700601000</v>
          </cell>
          <cell r="C82" t="str">
            <v>Rimborsi per attività delegate della Regione (SOVRAZIENDALI)</v>
          </cell>
          <cell r="D82">
            <v>553392.54</v>
          </cell>
          <cell r="E82">
            <v>0</v>
          </cell>
          <cell r="F82">
            <v>-553392.54</v>
          </cell>
        </row>
        <row r="83">
          <cell r="B83">
            <v>305100700609000</v>
          </cell>
          <cell r="C83" t="str">
            <v>Altri rimborsi, assegni e contributi v/Aziende sanitarie pubbliche della Regione</v>
          </cell>
          <cell r="D83">
            <v>1252284.51</v>
          </cell>
          <cell r="E83">
            <v>123462.54</v>
          </cell>
          <cell r="F83">
            <v>-1128821.97</v>
          </cell>
        </row>
        <row r="84">
          <cell r="B84">
            <v>305100750100000</v>
          </cell>
          <cell r="C84" t="str">
            <v>Consulenze sanitarie e sociosan. da Aziende sanitarie pubbliche della Regione</v>
          </cell>
          <cell r="D84">
            <v>72003.960000000006</v>
          </cell>
          <cell r="E84">
            <v>22808.38</v>
          </cell>
          <cell r="F84">
            <v>-49195.58</v>
          </cell>
        </row>
        <row r="85">
          <cell r="B85">
            <v>305100750302005</v>
          </cell>
          <cell r="C85" t="str">
            <v>Compensi diretti per prestazioni aggiuntive al personale del comparto</v>
          </cell>
          <cell r="D85">
            <v>170832.5</v>
          </cell>
          <cell r="E85">
            <v>0</v>
          </cell>
          <cell r="F85">
            <v>-170832.5</v>
          </cell>
        </row>
        <row r="86">
          <cell r="B86">
            <v>305100750306005</v>
          </cell>
          <cell r="C86" t="str">
            <v>Costo del personale tirocinante - area sanitaria</v>
          </cell>
          <cell r="D86">
            <v>1613573.59</v>
          </cell>
          <cell r="E86">
            <v>118633.99</v>
          </cell>
          <cell r="F86">
            <v>-1494939.6</v>
          </cell>
        </row>
        <row r="87">
          <cell r="B87">
            <v>305100750306025</v>
          </cell>
          <cell r="C87" t="str">
            <v>Indennità per commissioni sanitarie</v>
          </cell>
          <cell r="D87">
            <v>118157.46</v>
          </cell>
          <cell r="E87">
            <v>0</v>
          </cell>
          <cell r="F87">
            <v>-118157.46</v>
          </cell>
        </row>
        <row r="88">
          <cell r="B88">
            <v>305100750306030</v>
          </cell>
          <cell r="C88" t="str">
            <v>Compensi ai docenti</v>
          </cell>
          <cell r="D88">
            <v>95887.61</v>
          </cell>
          <cell r="E88">
            <v>9960.82</v>
          </cell>
          <cell r="F88">
            <v>-85926.79</v>
          </cell>
        </row>
        <row r="89">
          <cell r="B89">
            <v>305100750306040</v>
          </cell>
          <cell r="C89" t="str">
            <v>Altre collaborazioni e prestazioni di lavoro - area sanitaria</v>
          </cell>
          <cell r="D89">
            <v>15760.45</v>
          </cell>
          <cell r="E89">
            <v>0</v>
          </cell>
          <cell r="F89">
            <v>-15760.45</v>
          </cell>
        </row>
        <row r="90">
          <cell r="B90">
            <v>305100750401000</v>
          </cell>
          <cell r="C90" t="str">
            <v>Rimborso oneri stipendiali personale sanitario in comando da Aziende sanitarie pubbliche della Regione</v>
          </cell>
          <cell r="D90">
            <v>131952.81</v>
          </cell>
          <cell r="E90">
            <v>0</v>
          </cell>
          <cell r="F90">
            <v>-131952.81</v>
          </cell>
        </row>
        <row r="91">
          <cell r="B91">
            <v>305100800409000</v>
          </cell>
          <cell r="C91" t="str">
            <v>Altri servizi sanitari da privato</v>
          </cell>
          <cell r="D91">
            <v>2262641.04</v>
          </cell>
          <cell r="E91">
            <v>0</v>
          </cell>
          <cell r="F91">
            <v>-2262641.04</v>
          </cell>
        </row>
        <row r="92">
          <cell r="B92">
            <v>305200100500000</v>
          </cell>
          <cell r="C92" t="str">
            <v>Lavanderia</v>
          </cell>
          <cell r="D92">
            <v>6522.12</v>
          </cell>
          <cell r="E92">
            <v>0</v>
          </cell>
          <cell r="F92">
            <v>-6522.12</v>
          </cell>
        </row>
        <row r="93">
          <cell r="B93">
            <v>305200100100000</v>
          </cell>
          <cell r="C93" t="str">
            <v>Pulizia</v>
          </cell>
          <cell r="D93">
            <v>51417.599999999999</v>
          </cell>
          <cell r="E93">
            <v>0</v>
          </cell>
          <cell r="F93">
            <v>-51417.599999999999</v>
          </cell>
        </row>
        <row r="94">
          <cell r="B94">
            <v>305200100151000</v>
          </cell>
          <cell r="C94" t="str">
            <v>Mensa dipendenti</v>
          </cell>
          <cell r="D94">
            <v>116697.61</v>
          </cell>
          <cell r="E94">
            <v>225.61</v>
          </cell>
          <cell r="F94">
            <v>-116472</v>
          </cell>
        </row>
        <row r="95">
          <cell r="B95">
            <v>305200100259000</v>
          </cell>
          <cell r="C95" t="str">
            <v>Altri servizi di assistenza informatica</v>
          </cell>
          <cell r="D95">
            <v>61488</v>
          </cell>
          <cell r="E95">
            <v>0</v>
          </cell>
          <cell r="F95">
            <v>-61488</v>
          </cell>
        </row>
        <row r="96">
          <cell r="B96">
            <v>305200100300000</v>
          </cell>
          <cell r="C96" t="str">
            <v>Servizi trasporti (non sanitari)</v>
          </cell>
          <cell r="D96">
            <v>1716.55</v>
          </cell>
          <cell r="E96">
            <v>0</v>
          </cell>
          <cell r="F96">
            <v>-1716.55</v>
          </cell>
        </row>
        <row r="97">
          <cell r="B97">
            <v>305200100350000</v>
          </cell>
          <cell r="C97" t="str">
            <v>Smaltimento rifiuti</v>
          </cell>
          <cell r="D97">
            <v>96370.95</v>
          </cell>
          <cell r="E97">
            <v>497.76</v>
          </cell>
          <cell r="F97">
            <v>-95873.19</v>
          </cell>
        </row>
        <row r="98">
          <cell r="B98">
            <v>305200100401000</v>
          </cell>
          <cell r="C98" t="str">
            <v>Spese telefoniche</v>
          </cell>
          <cell r="D98">
            <v>171511.05</v>
          </cell>
          <cell r="E98">
            <v>67239.47</v>
          </cell>
          <cell r="F98">
            <v>-104271.58</v>
          </cell>
        </row>
        <row r="99">
          <cell r="B99">
            <v>305200100450000</v>
          </cell>
          <cell r="C99" t="str">
            <v>Utenze elettricità</v>
          </cell>
          <cell r="D99">
            <v>17001.689999999999</v>
          </cell>
          <cell r="E99">
            <v>120.01</v>
          </cell>
          <cell r="F99">
            <v>-16881.68</v>
          </cell>
        </row>
        <row r="100">
          <cell r="B100">
            <v>305200100503000</v>
          </cell>
          <cell r="C100" t="str">
            <v>Canoni radiotelevisivi</v>
          </cell>
          <cell r="D100">
            <v>231698.02</v>
          </cell>
          <cell r="E100">
            <v>0</v>
          </cell>
          <cell r="F100">
            <v>-231698.02</v>
          </cell>
        </row>
        <row r="101">
          <cell r="B101">
            <v>305200100504000</v>
          </cell>
          <cell r="C101" t="str">
            <v>Banche dati</v>
          </cell>
          <cell r="D101">
            <v>41681.5</v>
          </cell>
          <cell r="E101">
            <v>0</v>
          </cell>
          <cell r="F101">
            <v>-41681.5</v>
          </cell>
        </row>
        <row r="102">
          <cell r="B102">
            <v>305200100551000</v>
          </cell>
          <cell r="C102" t="str">
            <v>Premi di assicurazione - R.C. Professionale</v>
          </cell>
          <cell r="D102">
            <v>3894756.28</v>
          </cell>
          <cell r="E102">
            <v>0</v>
          </cell>
          <cell r="F102">
            <v>-3894756.28</v>
          </cell>
        </row>
        <row r="103">
          <cell r="B103">
            <v>305200100552000</v>
          </cell>
          <cell r="C103" t="str">
            <v>Premi di assicurazione - Altri premi assicurativi</v>
          </cell>
          <cell r="D103">
            <v>34703.879999999997</v>
          </cell>
          <cell r="E103">
            <v>0</v>
          </cell>
          <cell r="F103">
            <v>-34703.879999999997</v>
          </cell>
        </row>
        <row r="104">
          <cell r="B104">
            <v>305200100602005</v>
          </cell>
          <cell r="C104" t="str">
            <v>Altri servizi non sanitari da pubblico</v>
          </cell>
          <cell r="D104">
            <v>147562</v>
          </cell>
          <cell r="E104">
            <v>0</v>
          </cell>
          <cell r="F104">
            <v>-147562</v>
          </cell>
        </row>
        <row r="105">
          <cell r="B105">
            <v>305200100603015</v>
          </cell>
          <cell r="C105" t="str">
            <v>Spese bancarie</v>
          </cell>
          <cell r="D105">
            <v>4</v>
          </cell>
          <cell r="E105">
            <v>0</v>
          </cell>
          <cell r="F105">
            <v>-4</v>
          </cell>
        </row>
        <row r="106">
          <cell r="B106">
            <v>305200100603025</v>
          </cell>
          <cell r="C106" t="str">
            <v>Spese di rappresentanza</v>
          </cell>
          <cell r="D106">
            <v>1014.5</v>
          </cell>
          <cell r="E106">
            <v>0</v>
          </cell>
          <cell r="F106">
            <v>-1014.5</v>
          </cell>
        </row>
        <row r="107">
          <cell r="B107">
            <v>305200100603030</v>
          </cell>
          <cell r="C107" t="str">
            <v>Pubblicità e inserzioni</v>
          </cell>
          <cell r="D107">
            <v>225058.72</v>
          </cell>
          <cell r="E107">
            <v>0</v>
          </cell>
          <cell r="F107">
            <v>-225058.72</v>
          </cell>
        </row>
        <row r="108">
          <cell r="B108">
            <v>305200100603035</v>
          </cell>
          <cell r="C108" t="str">
            <v>Altre spese legali</v>
          </cell>
          <cell r="D108">
            <v>81401.89</v>
          </cell>
          <cell r="E108">
            <v>0</v>
          </cell>
          <cell r="F108">
            <v>-81401.89</v>
          </cell>
        </row>
        <row r="109">
          <cell r="B109">
            <v>305200100603040</v>
          </cell>
          <cell r="C109" t="str">
            <v>Spese postali</v>
          </cell>
          <cell r="D109">
            <v>399.12</v>
          </cell>
          <cell r="E109">
            <v>0</v>
          </cell>
          <cell r="F109">
            <v>-399.12</v>
          </cell>
        </row>
        <row r="110">
          <cell r="B110">
            <v>305200100603045</v>
          </cell>
          <cell r="C110" t="str">
            <v>Bolli e marche</v>
          </cell>
          <cell r="D110">
            <v>1776</v>
          </cell>
          <cell r="E110">
            <v>38</v>
          </cell>
          <cell r="F110">
            <v>-1738</v>
          </cell>
        </row>
        <row r="111">
          <cell r="B111">
            <v>305200100603050</v>
          </cell>
          <cell r="C111" t="str">
            <v>Abbonamenti e riviste</v>
          </cell>
          <cell r="D111">
            <v>117.96</v>
          </cell>
          <cell r="E111">
            <v>0</v>
          </cell>
          <cell r="F111">
            <v>-117.96</v>
          </cell>
        </row>
        <row r="112">
          <cell r="B112">
            <v>305200100603055</v>
          </cell>
          <cell r="C112" t="str">
            <v>Altre spese generali e amministrative</v>
          </cell>
          <cell r="D112">
            <v>176600.68</v>
          </cell>
          <cell r="E112">
            <v>0</v>
          </cell>
          <cell r="F112">
            <v>-176600.68</v>
          </cell>
        </row>
        <row r="113">
          <cell r="B113">
            <v>305200100603060</v>
          </cell>
          <cell r="C113" t="str">
            <v>Rimborsi spese personale dipendente</v>
          </cell>
          <cell r="D113">
            <v>17502.5</v>
          </cell>
          <cell r="E113">
            <v>0</v>
          </cell>
          <cell r="F113">
            <v>-17502.5</v>
          </cell>
        </row>
        <row r="114">
          <cell r="B114">
            <v>305200100603065</v>
          </cell>
          <cell r="C114" t="str">
            <v>Altri rimborsi spese</v>
          </cell>
          <cell r="D114">
            <v>2430.86</v>
          </cell>
          <cell r="E114">
            <v>0</v>
          </cell>
          <cell r="F114">
            <v>-2430.86</v>
          </cell>
        </row>
        <row r="115">
          <cell r="B115">
            <v>305200100603090</v>
          </cell>
          <cell r="C115" t="str">
            <v>Altri servizi non sanitari da privato</v>
          </cell>
          <cell r="D115">
            <v>12682830.07</v>
          </cell>
          <cell r="E115">
            <v>118998.84</v>
          </cell>
          <cell r="F115">
            <v>-12563831.23</v>
          </cell>
        </row>
        <row r="116">
          <cell r="B116">
            <v>305200200100000</v>
          </cell>
          <cell r="C116" t="str">
            <v>Consulenze non sanitarie da Aziende sanitarie pubbliche della Regione</v>
          </cell>
          <cell r="D116">
            <v>20811.59</v>
          </cell>
          <cell r="E116">
            <v>3752.91</v>
          </cell>
          <cell r="F116">
            <v>-17058.68</v>
          </cell>
        </row>
        <row r="117">
          <cell r="B117">
            <v>305200200301005</v>
          </cell>
          <cell r="C117" t="str">
            <v>Consulenze fiscali</v>
          </cell>
          <cell r="D117">
            <v>7515.2</v>
          </cell>
          <cell r="E117">
            <v>0</v>
          </cell>
          <cell r="F117">
            <v>-7515.2</v>
          </cell>
        </row>
        <row r="118">
          <cell r="B118">
            <v>305200200301015</v>
          </cell>
          <cell r="C118" t="str">
            <v>Consulenze tecniche</v>
          </cell>
          <cell r="D118">
            <v>1776.32</v>
          </cell>
          <cell r="E118">
            <v>1776.32</v>
          </cell>
          <cell r="F118">
            <v>0</v>
          </cell>
        </row>
        <row r="119">
          <cell r="B119">
            <v>305200200304000</v>
          </cell>
          <cell r="C119" t="str">
            <v>Lavoro interinale - area non sanitaria</v>
          </cell>
          <cell r="D119">
            <v>591183.61</v>
          </cell>
          <cell r="E119">
            <v>16705.71</v>
          </cell>
          <cell r="F119">
            <v>-574477.9</v>
          </cell>
        </row>
        <row r="120">
          <cell r="B120">
            <v>305200200305040</v>
          </cell>
          <cell r="C120" t="str">
            <v>Indennità per commissioni non sanitarie</v>
          </cell>
          <cell r="D120">
            <v>35123.82</v>
          </cell>
          <cell r="E120">
            <v>1750</v>
          </cell>
          <cell r="F120">
            <v>-33373.82</v>
          </cell>
        </row>
        <row r="121">
          <cell r="B121">
            <v>305200200305090</v>
          </cell>
          <cell r="C121" t="str">
            <v>Altre collaborazioni e prestazioni di lavoro - area non sanitaria</v>
          </cell>
          <cell r="D121">
            <v>124525.16</v>
          </cell>
          <cell r="E121">
            <v>34474.230000000003</v>
          </cell>
          <cell r="F121">
            <v>-90050.93</v>
          </cell>
        </row>
        <row r="122">
          <cell r="B122">
            <v>305200300200000</v>
          </cell>
          <cell r="C122" t="str">
            <v>Formazione (esternalizzata e non) da privato</v>
          </cell>
          <cell r="D122">
            <v>62326.41</v>
          </cell>
          <cell r="E122">
            <v>8377.32</v>
          </cell>
          <cell r="F122">
            <v>-53949.09</v>
          </cell>
        </row>
        <row r="123">
          <cell r="B123">
            <v>320100100101000</v>
          </cell>
          <cell r="C123" t="str">
            <v>Voci di costo a carattere stipendiale - personale dirigente medico tempo indeterm.</v>
          </cell>
          <cell r="D123">
            <v>127063.16</v>
          </cell>
          <cell r="E123">
            <v>0</v>
          </cell>
          <cell r="F123">
            <v>-127063.16</v>
          </cell>
        </row>
        <row r="124">
          <cell r="B124">
            <v>320100100102000</v>
          </cell>
          <cell r="C124" t="str">
            <v>Retribuzione di posizione - personale dirigente medico tempo indeterm.</v>
          </cell>
          <cell r="D124">
            <v>51207.27</v>
          </cell>
          <cell r="E124">
            <v>0</v>
          </cell>
          <cell r="F124">
            <v>-51207.27</v>
          </cell>
        </row>
        <row r="125">
          <cell r="B125">
            <v>320100100103000</v>
          </cell>
          <cell r="C125" t="str">
            <v>Retribuzione di risultato - personale dirigente medico tempo indeterm.</v>
          </cell>
          <cell r="D125">
            <v>26525.62</v>
          </cell>
          <cell r="E125">
            <v>0</v>
          </cell>
          <cell r="F125">
            <v>-26525.62</v>
          </cell>
        </row>
        <row r="126">
          <cell r="B126">
            <v>320100100109000</v>
          </cell>
          <cell r="C126" t="str">
            <v>Oneri sociali su retribuzione - personale dirigente medico tempo indeterm.</v>
          </cell>
          <cell r="D126">
            <v>59379.41</v>
          </cell>
          <cell r="E126">
            <v>0</v>
          </cell>
          <cell r="F126">
            <v>-59379.41</v>
          </cell>
        </row>
        <row r="127">
          <cell r="B127">
            <v>320100100209000</v>
          </cell>
          <cell r="C127" t="str">
            <v>Oneri sociali su retribuzione - personale dirigente medico tempo determ.</v>
          </cell>
          <cell r="D127">
            <v>118.84</v>
          </cell>
          <cell r="E127">
            <v>118.84</v>
          </cell>
          <cell r="F127">
            <v>0</v>
          </cell>
        </row>
        <row r="128">
          <cell r="B128">
            <v>320100200101000</v>
          </cell>
          <cell r="C128" t="str">
            <v>Voci di costo a carattere stipendiale - personale dirigente non medico tempo indeterm.</v>
          </cell>
          <cell r="D128">
            <v>430476.73</v>
          </cell>
          <cell r="E128">
            <v>0</v>
          </cell>
          <cell r="F128">
            <v>-430476.73</v>
          </cell>
        </row>
        <row r="129">
          <cell r="B129">
            <v>320100200102000</v>
          </cell>
          <cell r="C129" t="str">
            <v>Retribuzione di posizione - personale dirigente non medico tempo indeterm.</v>
          </cell>
          <cell r="D129">
            <v>97010.9</v>
          </cell>
          <cell r="E129">
            <v>3.85</v>
          </cell>
          <cell r="F129">
            <v>-97007.05</v>
          </cell>
        </row>
        <row r="130">
          <cell r="B130">
            <v>320100200103000</v>
          </cell>
          <cell r="C130" t="str">
            <v>Retribuzione di risultato - personale dirigente non medico tempo indeterm.</v>
          </cell>
          <cell r="D130">
            <v>33748.800000000003</v>
          </cell>
          <cell r="E130">
            <v>0</v>
          </cell>
          <cell r="F130">
            <v>-33748.800000000003</v>
          </cell>
        </row>
        <row r="131">
          <cell r="B131">
            <v>320100200107000</v>
          </cell>
          <cell r="C131" t="str">
            <v>Altre competenze personale dirigente non medico - personale dirigente non medico tempo indeterm.</v>
          </cell>
          <cell r="D131">
            <v>302.56</v>
          </cell>
          <cell r="E131">
            <v>0</v>
          </cell>
          <cell r="F131">
            <v>-302.56</v>
          </cell>
        </row>
        <row r="132">
          <cell r="B132">
            <v>320100200109000</v>
          </cell>
          <cell r="C132" t="str">
            <v>Oneri sociali su retribuzione - personale dirigente non medico tempo indeterm.</v>
          </cell>
          <cell r="D132">
            <v>157493.17000000001</v>
          </cell>
          <cell r="E132">
            <v>0</v>
          </cell>
          <cell r="F132">
            <v>-157493.17000000001</v>
          </cell>
        </row>
        <row r="133">
          <cell r="B133">
            <v>320100200201000</v>
          </cell>
          <cell r="C133" t="str">
            <v>Voci di costo a carattere stipendiale - personale dirigente non medico tempo determ.</v>
          </cell>
          <cell r="D133">
            <v>68569.66</v>
          </cell>
          <cell r="E133">
            <v>0</v>
          </cell>
          <cell r="F133">
            <v>-68569.66</v>
          </cell>
        </row>
        <row r="134">
          <cell r="B134">
            <v>320100200202000</v>
          </cell>
          <cell r="C134" t="str">
            <v>Retribuzione di posizione - personale dirigente non medico tempo determ.</v>
          </cell>
          <cell r="D134">
            <v>4415.3500000000004</v>
          </cell>
          <cell r="E134">
            <v>0</v>
          </cell>
          <cell r="F134">
            <v>-4415.3500000000004</v>
          </cell>
        </row>
        <row r="135">
          <cell r="B135">
            <v>320100200203000</v>
          </cell>
          <cell r="C135" t="str">
            <v>Retribuzione di risultato - personale dirigente non medico tempo determ.</v>
          </cell>
          <cell r="D135">
            <v>4422.22</v>
          </cell>
          <cell r="E135">
            <v>0</v>
          </cell>
          <cell r="F135">
            <v>-4422.22</v>
          </cell>
        </row>
        <row r="136">
          <cell r="B136">
            <v>320100200209000</v>
          </cell>
          <cell r="C136" t="str">
            <v>Oneri sociali su retribuzione - personale dirigente non medico tempo determ.</v>
          </cell>
          <cell r="D136">
            <v>23998.29</v>
          </cell>
          <cell r="E136">
            <v>0</v>
          </cell>
          <cell r="F136">
            <v>-23998.29</v>
          </cell>
        </row>
        <row r="137">
          <cell r="B137">
            <v>320200100100000</v>
          </cell>
          <cell r="C137" t="str">
            <v>Voci di costo a carattere stipendiale - personale comparto ruolo sanitario tempo indeterm.</v>
          </cell>
          <cell r="D137">
            <v>1172377.92</v>
          </cell>
          <cell r="E137">
            <v>727.81</v>
          </cell>
          <cell r="F137">
            <v>-1171650.1100000001</v>
          </cell>
        </row>
        <row r="138">
          <cell r="B138">
            <v>320200100201000</v>
          </cell>
          <cell r="C138" t="str">
            <v>Straordinario - personale comparto ruolo sanitario tempo indeterm.</v>
          </cell>
          <cell r="D138">
            <v>30952</v>
          </cell>
          <cell r="E138">
            <v>0</v>
          </cell>
          <cell r="F138">
            <v>-30952</v>
          </cell>
        </row>
        <row r="139">
          <cell r="B139">
            <v>320200100202000</v>
          </cell>
          <cell r="C139" t="str">
            <v>Condizioni di lavoro - personale comparto ruolo sanitario tempo indeterm.</v>
          </cell>
          <cell r="D139">
            <v>141314.09</v>
          </cell>
          <cell r="E139">
            <v>0</v>
          </cell>
          <cell r="F139">
            <v>-141314.09</v>
          </cell>
        </row>
        <row r="140">
          <cell r="B140">
            <v>320200100203000</v>
          </cell>
          <cell r="C140" t="str">
            <v>Premialità - personale comparto ruolo sanitario tempo indeterm.</v>
          </cell>
          <cell r="D140">
            <v>163684.64000000001</v>
          </cell>
          <cell r="E140">
            <v>997.5</v>
          </cell>
          <cell r="F140">
            <v>-162687.14000000001</v>
          </cell>
        </row>
        <row r="141">
          <cell r="B141">
            <v>320200100301000</v>
          </cell>
          <cell r="C141" t="str">
            <v>Incarichi - personale comparto ruolo sanitario tempo indeterm.</v>
          </cell>
          <cell r="D141">
            <v>46120.08</v>
          </cell>
          <cell r="E141">
            <v>18.52</v>
          </cell>
          <cell r="F141">
            <v>-46101.56</v>
          </cell>
        </row>
        <row r="142">
          <cell r="B142">
            <v>320200100302000</v>
          </cell>
          <cell r="C142" t="str">
            <v>Progressioni economiche - personale comparto ruolo sanitario tempo indeterm.</v>
          </cell>
          <cell r="D142">
            <v>65318.49</v>
          </cell>
          <cell r="E142">
            <v>13.66</v>
          </cell>
          <cell r="F142">
            <v>-65304.83</v>
          </cell>
        </row>
        <row r="143">
          <cell r="B143">
            <v>320200100303000</v>
          </cell>
          <cell r="C143" t="str">
            <v>Indennità professionali - personale comparto ruolo sanitario tempo indeterm.</v>
          </cell>
          <cell r="D143">
            <v>67347.259999999995</v>
          </cell>
          <cell r="E143">
            <v>2821.95</v>
          </cell>
          <cell r="F143">
            <v>-64525.31</v>
          </cell>
        </row>
        <row r="144">
          <cell r="B144">
            <v>320200100600000</v>
          </cell>
          <cell r="C144" t="str">
            <v>Altri oneri per il personale comparto ruolo sanitario tempo indeterm.</v>
          </cell>
          <cell r="D144">
            <v>40967.5</v>
          </cell>
          <cell r="E144">
            <v>40967.5</v>
          </cell>
          <cell r="F144">
            <v>0</v>
          </cell>
        </row>
        <row r="145">
          <cell r="B145">
            <v>320200100900000</v>
          </cell>
          <cell r="C145" t="str">
            <v>Oneri sociali su retribuzione - personale comparto ruolo sanitario tempo indeterm.</v>
          </cell>
          <cell r="D145">
            <v>514854.01</v>
          </cell>
          <cell r="E145">
            <v>3544</v>
          </cell>
          <cell r="F145">
            <v>-511310.01</v>
          </cell>
        </row>
        <row r="146">
          <cell r="B146">
            <v>320200200100000</v>
          </cell>
          <cell r="C146" t="str">
            <v>Voci di costo a carattere stipendiale - personale comparto ruolo sanitario tempo determ.</v>
          </cell>
          <cell r="D146">
            <v>9951.51</v>
          </cell>
          <cell r="E146">
            <v>0</v>
          </cell>
          <cell r="F146">
            <v>-9951.51</v>
          </cell>
        </row>
        <row r="147">
          <cell r="B147">
            <v>320200200202000</v>
          </cell>
          <cell r="C147" t="str">
            <v>Condizioni di lavoro - personale comparto ruolo sanitario tempo determ.</v>
          </cell>
          <cell r="D147">
            <v>1336.39</v>
          </cell>
          <cell r="E147">
            <v>0</v>
          </cell>
          <cell r="F147">
            <v>-1336.39</v>
          </cell>
        </row>
        <row r="148">
          <cell r="B148">
            <v>320200200203000</v>
          </cell>
          <cell r="C148" t="str">
            <v>Premialità - personale comparto ruolo sanitario tempo determ.</v>
          </cell>
          <cell r="D148">
            <v>2017.39</v>
          </cell>
          <cell r="E148">
            <v>0</v>
          </cell>
          <cell r="F148">
            <v>-2017.39</v>
          </cell>
        </row>
        <row r="149">
          <cell r="B149">
            <v>320200200301000</v>
          </cell>
          <cell r="C149" t="str">
            <v>Incarichi - personale comparto ruolo sanitario tempo determ.</v>
          </cell>
          <cell r="D149">
            <v>381.67</v>
          </cell>
          <cell r="E149">
            <v>0</v>
          </cell>
          <cell r="F149">
            <v>-381.67</v>
          </cell>
        </row>
        <row r="150">
          <cell r="B150">
            <v>320200200303000</v>
          </cell>
          <cell r="C150" t="str">
            <v>Indennità professionali - personale comparto ruolo sanitario tempo determ.</v>
          </cell>
          <cell r="D150">
            <v>156.03</v>
          </cell>
          <cell r="E150">
            <v>0</v>
          </cell>
          <cell r="F150">
            <v>-156.03</v>
          </cell>
        </row>
        <row r="151">
          <cell r="B151">
            <v>320200200600000</v>
          </cell>
          <cell r="C151" t="str">
            <v>Altri oneri per il personale comparto ruolo sanitario tempo determ.</v>
          </cell>
          <cell r="D151">
            <v>752.5</v>
          </cell>
          <cell r="E151">
            <v>752.5</v>
          </cell>
          <cell r="F151">
            <v>0</v>
          </cell>
        </row>
        <row r="152">
          <cell r="B152">
            <v>320200200900000</v>
          </cell>
          <cell r="C152" t="str">
            <v>Oneri sociali su retribuzione - personale comparto ruolo sanitario tempo determ.</v>
          </cell>
          <cell r="D152">
            <v>4188.29</v>
          </cell>
          <cell r="E152">
            <v>0</v>
          </cell>
          <cell r="F152">
            <v>-4188.29</v>
          </cell>
        </row>
        <row r="153">
          <cell r="B153">
            <v>325100100100000</v>
          </cell>
          <cell r="C153" t="str">
            <v>Voci di costo a carattere stipendiale - personale dirigente ruolo professionale tempo indeterm.</v>
          </cell>
          <cell r="D153">
            <v>244786.55</v>
          </cell>
          <cell r="E153">
            <v>437.84</v>
          </cell>
          <cell r="F153">
            <v>-244348.71</v>
          </cell>
        </row>
        <row r="154">
          <cell r="B154">
            <v>325100100200000</v>
          </cell>
          <cell r="C154" t="str">
            <v>Retribuzione di posizione - personale dirigente ruolo professionale tempo indeterm.</v>
          </cell>
          <cell r="D154">
            <v>113007.22</v>
          </cell>
          <cell r="E154">
            <v>352.22</v>
          </cell>
          <cell r="F154">
            <v>-112655</v>
          </cell>
        </row>
        <row r="155">
          <cell r="B155">
            <v>325100100300000</v>
          </cell>
          <cell r="C155" t="str">
            <v>Retribuzione di risultato - personale dirigente ruolo professionale tempo indeterm.</v>
          </cell>
          <cell r="D155">
            <v>68669</v>
          </cell>
          <cell r="E155">
            <v>0</v>
          </cell>
          <cell r="F155">
            <v>-68669</v>
          </cell>
        </row>
        <row r="156">
          <cell r="B156">
            <v>325100100900000</v>
          </cell>
          <cell r="C156" t="str">
            <v>Oneri sociali su retribuzione - personale dirigente ruolo professionale tempo indeterm.</v>
          </cell>
          <cell r="D156">
            <v>118201.68</v>
          </cell>
          <cell r="E156">
            <v>68.02</v>
          </cell>
          <cell r="F156">
            <v>-118133.66</v>
          </cell>
        </row>
        <row r="157">
          <cell r="B157">
            <v>330100100100000</v>
          </cell>
          <cell r="C157" t="str">
            <v>Voci di costo a carattere stipendiale - personale dirigente ruolo tecnico tempo indeterm.</v>
          </cell>
          <cell r="D157">
            <v>135442.23999999999</v>
          </cell>
          <cell r="E157">
            <v>88.4</v>
          </cell>
          <cell r="F157">
            <v>-135353.84</v>
          </cell>
        </row>
        <row r="158">
          <cell r="B158">
            <v>330100100200000</v>
          </cell>
          <cell r="C158" t="str">
            <v>Retribuzione di posizione - personale dirigente ruolo tecnico tempo indeterm.</v>
          </cell>
          <cell r="D158">
            <v>58590.7</v>
          </cell>
          <cell r="E158">
            <v>10.7</v>
          </cell>
          <cell r="F158">
            <v>-58580</v>
          </cell>
        </row>
        <row r="159">
          <cell r="B159">
            <v>330100100300000</v>
          </cell>
          <cell r="C159" t="str">
            <v>Retribuzione di risultato - personale dirigente ruolo tecnico tempo indeterm.</v>
          </cell>
          <cell r="D159">
            <v>35708</v>
          </cell>
          <cell r="E159">
            <v>0</v>
          </cell>
          <cell r="F159">
            <v>-35708</v>
          </cell>
        </row>
        <row r="160">
          <cell r="B160">
            <v>330100100900000</v>
          </cell>
          <cell r="C160" t="str">
            <v>Oneri sociali su retribuzione - personale dirigente ruolo tecnico tempo indeterm.</v>
          </cell>
          <cell r="D160">
            <v>66413.820000000007</v>
          </cell>
          <cell r="E160">
            <v>0</v>
          </cell>
          <cell r="F160">
            <v>-66413.820000000007</v>
          </cell>
        </row>
        <row r="161">
          <cell r="B161">
            <v>330200100100000</v>
          </cell>
          <cell r="C161" t="str">
            <v>Voci di costo a carattere stipendiale - personale comparto ruolo tecnico tempo indeterm.</v>
          </cell>
          <cell r="D161">
            <v>274131.12</v>
          </cell>
          <cell r="E161">
            <v>6986.29</v>
          </cell>
          <cell r="F161">
            <v>-267144.83</v>
          </cell>
        </row>
        <row r="162">
          <cell r="B162">
            <v>330200100201000</v>
          </cell>
          <cell r="C162" t="str">
            <v>Straordinario - personale comparto ruolo tecnico tempo indeterm.</v>
          </cell>
          <cell r="D162">
            <v>2277.0100000000002</v>
          </cell>
          <cell r="E162">
            <v>214.01</v>
          </cell>
          <cell r="F162">
            <v>-2063</v>
          </cell>
        </row>
        <row r="163">
          <cell r="B163">
            <v>330200100203000</v>
          </cell>
          <cell r="C163" t="str">
            <v>Premialità - comparto ruolo tecnico tempo indeterm.</v>
          </cell>
          <cell r="D163">
            <v>36521.300000000003</v>
          </cell>
          <cell r="E163">
            <v>0</v>
          </cell>
          <cell r="F163">
            <v>-36521.300000000003</v>
          </cell>
        </row>
        <row r="164">
          <cell r="B164">
            <v>330200100301000</v>
          </cell>
          <cell r="C164" t="str">
            <v>Incarichi - personale comparto ruolo tecnico tempo indeterm.</v>
          </cell>
          <cell r="D164">
            <v>6908.68</v>
          </cell>
          <cell r="E164">
            <v>5.77</v>
          </cell>
          <cell r="F164">
            <v>-6902.91</v>
          </cell>
        </row>
        <row r="165">
          <cell r="B165">
            <v>330200100302000</v>
          </cell>
          <cell r="C165" t="str">
            <v>Progressioni economiche - personale comparto ruolo tecnico tempo indeterm.</v>
          </cell>
          <cell r="D165">
            <v>1284.1199999999999</v>
          </cell>
          <cell r="E165">
            <v>0</v>
          </cell>
          <cell r="F165">
            <v>-1284.1199999999999</v>
          </cell>
        </row>
        <row r="166">
          <cell r="B166">
            <v>330200100303000</v>
          </cell>
          <cell r="C166" t="str">
            <v>Indennità professionali - personale comparto ruolo tecnico tempo indeterm.</v>
          </cell>
          <cell r="D166">
            <v>4218.2</v>
          </cell>
          <cell r="E166">
            <v>36.340000000000003</v>
          </cell>
          <cell r="F166">
            <v>-4181.8599999999997</v>
          </cell>
        </row>
        <row r="167">
          <cell r="B167">
            <v>330200100600000</v>
          </cell>
          <cell r="C167" t="str">
            <v>Altri oneri per il personale comparto ruolo tecnico tempo indeterm.</v>
          </cell>
          <cell r="D167">
            <v>1708.74</v>
          </cell>
          <cell r="E167">
            <v>0</v>
          </cell>
          <cell r="F167">
            <v>-1708.74</v>
          </cell>
        </row>
        <row r="168">
          <cell r="B168">
            <v>330200100900000</v>
          </cell>
          <cell r="C168" t="str">
            <v>Oneri sociali su retribuzione - personale comparto ruolo tecnico tempo indeterm.</v>
          </cell>
          <cell r="D168">
            <v>97791.92</v>
          </cell>
          <cell r="E168">
            <v>1783.57</v>
          </cell>
          <cell r="F168">
            <v>-96008.35</v>
          </cell>
        </row>
        <row r="169">
          <cell r="B169">
            <v>330200101100000</v>
          </cell>
          <cell r="C169" t="str">
            <v>Voci di costo a carattere stipendiale - personale comparto ruolo sociosanitario tempo indeterm.</v>
          </cell>
          <cell r="D169">
            <v>22193.69</v>
          </cell>
          <cell r="E169">
            <v>1.18</v>
          </cell>
          <cell r="F169">
            <v>-22192.51</v>
          </cell>
        </row>
        <row r="170">
          <cell r="B170">
            <v>330200101203000</v>
          </cell>
          <cell r="C170" t="str">
            <v>Premialità - comparto ruolo sociosanitario tempo indeterm.</v>
          </cell>
          <cell r="D170">
            <v>1817.39</v>
          </cell>
          <cell r="E170">
            <v>0</v>
          </cell>
          <cell r="F170">
            <v>-1817.39</v>
          </cell>
        </row>
        <row r="171">
          <cell r="B171">
            <v>330200101303000</v>
          </cell>
          <cell r="C171" t="str">
            <v>Indennità professionali - personale comparto ruolo sociosanitario tempo indeterm.</v>
          </cell>
          <cell r="D171">
            <v>114.6</v>
          </cell>
          <cell r="E171">
            <v>0</v>
          </cell>
          <cell r="F171">
            <v>-114.6</v>
          </cell>
        </row>
        <row r="172">
          <cell r="B172">
            <v>330200101900000</v>
          </cell>
          <cell r="C172" t="str">
            <v>Oneri sociali su retribuzione - personale comparto ruolo sociosanitario tempo indeterm.</v>
          </cell>
          <cell r="D172">
            <v>6689.53</v>
          </cell>
          <cell r="E172">
            <v>62.65</v>
          </cell>
          <cell r="F172">
            <v>-6626.88</v>
          </cell>
        </row>
        <row r="173">
          <cell r="B173">
            <v>335100100100000</v>
          </cell>
          <cell r="C173" t="str">
            <v>Voci di costo a carattere stipendiale - personale dirigente ruolo amministrativo tempo indeterm.</v>
          </cell>
          <cell r="D173">
            <v>766105.38</v>
          </cell>
          <cell r="E173">
            <v>220.28</v>
          </cell>
          <cell r="F173">
            <v>-765885.1</v>
          </cell>
        </row>
        <row r="174">
          <cell r="B174">
            <v>335100100200000</v>
          </cell>
          <cell r="C174" t="str">
            <v>Retribuzione di posizione - personale dirigente ruolo amministrativo tempo indeterm.</v>
          </cell>
          <cell r="D174">
            <v>270304.01</v>
          </cell>
          <cell r="E174">
            <v>73.64</v>
          </cell>
          <cell r="F174">
            <v>-270230.37</v>
          </cell>
        </row>
        <row r="175">
          <cell r="B175">
            <v>335100100300000</v>
          </cell>
          <cell r="C175" t="str">
            <v>Retribuzione di risultato - personale dirigente ruolo amministrativo tempo indeterm.</v>
          </cell>
          <cell r="D175">
            <v>198352.5</v>
          </cell>
          <cell r="E175">
            <v>36844.35</v>
          </cell>
          <cell r="F175">
            <v>-161508.15</v>
          </cell>
        </row>
        <row r="176">
          <cell r="B176">
            <v>335100100700000</v>
          </cell>
          <cell r="C176" t="str">
            <v>Altre competenze personale dirigente ruolo amministrativo - personale dirigente ruolo amministrativo tempo indeterm.</v>
          </cell>
          <cell r="D176">
            <v>36844.35</v>
          </cell>
          <cell r="E176">
            <v>0</v>
          </cell>
          <cell r="F176">
            <v>-36844.35</v>
          </cell>
        </row>
        <row r="177">
          <cell r="B177">
            <v>335100100900000</v>
          </cell>
          <cell r="C177" t="str">
            <v>Oneri sociali su retribuzione - personale dirigente ruolo amministrativo tempo indeterm.</v>
          </cell>
          <cell r="D177">
            <v>335796.4</v>
          </cell>
          <cell r="E177">
            <v>0</v>
          </cell>
          <cell r="F177">
            <v>-335796.4</v>
          </cell>
        </row>
        <row r="178">
          <cell r="B178">
            <v>335100200100000</v>
          </cell>
          <cell r="C178" t="str">
            <v>Voci di costo a carattere stipendiale - personale dirigente ruolo amministrativo tempo determ.</v>
          </cell>
          <cell r="D178">
            <v>75644.62</v>
          </cell>
          <cell r="E178">
            <v>0</v>
          </cell>
          <cell r="F178">
            <v>-75644.62</v>
          </cell>
        </row>
        <row r="179">
          <cell r="B179">
            <v>335100200200000</v>
          </cell>
          <cell r="C179" t="str">
            <v>Retribuzione di posizione - personale dirigente ruolo amministrativo tempo determ.</v>
          </cell>
          <cell r="D179">
            <v>9152.6299999999992</v>
          </cell>
          <cell r="E179">
            <v>0</v>
          </cell>
          <cell r="F179">
            <v>-9152.6299999999992</v>
          </cell>
        </row>
        <row r="180">
          <cell r="B180">
            <v>335100200300000</v>
          </cell>
          <cell r="C180" t="str">
            <v>Retribuzione di risultato -  personale dirigente ruolo amministrativo tempo determ.</v>
          </cell>
          <cell r="D180">
            <v>8790</v>
          </cell>
          <cell r="E180">
            <v>0</v>
          </cell>
          <cell r="F180">
            <v>-8790</v>
          </cell>
        </row>
        <row r="181">
          <cell r="B181">
            <v>335100200900000</v>
          </cell>
          <cell r="C181" t="str">
            <v>Oneri sociali su retribuzione - personale dirigente ruolo amministrativo tempo determ.</v>
          </cell>
          <cell r="D181">
            <v>28896.79</v>
          </cell>
          <cell r="E181">
            <v>170.17</v>
          </cell>
          <cell r="F181">
            <v>-28726.62</v>
          </cell>
        </row>
        <row r="182">
          <cell r="B182">
            <v>335200100100000</v>
          </cell>
          <cell r="C182" t="str">
            <v>Voci di costo a carattere stipendiale - personale comparto ruolo amministrativo tempo indeterm.</v>
          </cell>
          <cell r="D182">
            <v>4253929.01</v>
          </cell>
          <cell r="E182">
            <v>2127411.4500000002</v>
          </cell>
          <cell r="F182">
            <v>-2126517.56</v>
          </cell>
        </row>
        <row r="183">
          <cell r="B183">
            <v>335200100201000</v>
          </cell>
          <cell r="C183" t="str">
            <v>Straordinario - personale comparto ruolo amministrativo tempo indeterm.</v>
          </cell>
          <cell r="D183">
            <v>17540</v>
          </cell>
          <cell r="E183">
            <v>0</v>
          </cell>
          <cell r="F183">
            <v>-17540</v>
          </cell>
        </row>
        <row r="184">
          <cell r="B184">
            <v>335200100203000</v>
          </cell>
          <cell r="C184" t="str">
            <v>Premialità - comparto ruolo amministrativo tempo indeterm.</v>
          </cell>
          <cell r="D184">
            <v>415868.81</v>
          </cell>
          <cell r="E184">
            <v>0</v>
          </cell>
          <cell r="F184">
            <v>-415868.81</v>
          </cell>
        </row>
        <row r="185">
          <cell r="B185">
            <v>335200100301000</v>
          </cell>
          <cell r="C185" t="str">
            <v>Incarichi - personale comparto ruolo amministrativo tempo indeterm.</v>
          </cell>
          <cell r="D185">
            <v>54886.67</v>
          </cell>
          <cell r="E185">
            <v>1.92</v>
          </cell>
          <cell r="F185">
            <v>-54884.75</v>
          </cell>
        </row>
        <row r="186">
          <cell r="B186">
            <v>335200100302000</v>
          </cell>
          <cell r="C186" t="str">
            <v>Progressioni economiche - personale comparto amministrativo tecnico tempo indeterm.</v>
          </cell>
          <cell r="D186">
            <v>75986.67</v>
          </cell>
          <cell r="E186">
            <v>0</v>
          </cell>
          <cell r="F186">
            <v>-75986.67</v>
          </cell>
        </row>
        <row r="187">
          <cell r="B187">
            <v>335200100303000</v>
          </cell>
          <cell r="C187" t="str">
            <v>Indennità professionali - personale comparto ruolo amministrativo tempo indeterm.</v>
          </cell>
          <cell r="D187">
            <v>101402.56</v>
          </cell>
          <cell r="E187">
            <v>100.01</v>
          </cell>
          <cell r="F187">
            <v>-101302.55</v>
          </cell>
        </row>
        <row r="188">
          <cell r="B188">
            <v>335200100600000</v>
          </cell>
          <cell r="C188" t="str">
            <v>Altri oneri per il personale comparto ruolo amministrativo tempo indeterm.</v>
          </cell>
          <cell r="D188">
            <v>9889.0300000000007</v>
          </cell>
          <cell r="E188">
            <v>0</v>
          </cell>
          <cell r="F188">
            <v>-9889.0300000000007</v>
          </cell>
        </row>
        <row r="189">
          <cell r="B189">
            <v>335200100900000</v>
          </cell>
          <cell r="C189" t="str">
            <v>Oneri sociali su retribuzione - personale comparto ruolo amministrativo tempo indeterm.</v>
          </cell>
          <cell r="D189">
            <v>1225810.6299999999</v>
          </cell>
          <cell r="E189">
            <v>413995.07</v>
          </cell>
          <cell r="F189">
            <v>-811815.56</v>
          </cell>
        </row>
        <row r="190">
          <cell r="B190">
            <v>335200200100000</v>
          </cell>
          <cell r="C190" t="str">
            <v>Voci di costo a carattere stipendiale - personale comparto ruolo amministrativo tempo determ.</v>
          </cell>
          <cell r="D190">
            <v>425926.91</v>
          </cell>
          <cell r="E190">
            <v>0</v>
          </cell>
          <cell r="F190">
            <v>-425926.91</v>
          </cell>
        </row>
        <row r="191">
          <cell r="B191">
            <v>335200200201000</v>
          </cell>
          <cell r="C191" t="str">
            <v>Straordinario - personale comparto ruolo amministrativo tempo determ.</v>
          </cell>
          <cell r="D191">
            <v>1032</v>
          </cell>
          <cell r="E191">
            <v>0</v>
          </cell>
          <cell r="F191">
            <v>-1032</v>
          </cell>
        </row>
        <row r="192">
          <cell r="B192">
            <v>335200200203000</v>
          </cell>
          <cell r="C192" t="str">
            <v>Premialità - comparto ruolo amministrativo tempo determ.</v>
          </cell>
          <cell r="D192">
            <v>15236.73</v>
          </cell>
          <cell r="E192">
            <v>0</v>
          </cell>
          <cell r="F192">
            <v>-15236.73</v>
          </cell>
        </row>
        <row r="193">
          <cell r="B193">
            <v>335200200301000</v>
          </cell>
          <cell r="C193" t="str">
            <v>Incarichi - personale comparto ruolo amministrativo tempo determ.</v>
          </cell>
          <cell r="D193">
            <v>1692.24</v>
          </cell>
          <cell r="E193">
            <v>0</v>
          </cell>
          <cell r="F193">
            <v>-1692.24</v>
          </cell>
        </row>
        <row r="194">
          <cell r="B194">
            <v>335200200303000</v>
          </cell>
          <cell r="C194" t="str">
            <v>Indennità professionali - personale comparto ruolo amministrativo tempo determ.</v>
          </cell>
          <cell r="D194">
            <v>15337.66</v>
          </cell>
          <cell r="E194">
            <v>0</v>
          </cell>
          <cell r="F194">
            <v>-15337.66</v>
          </cell>
        </row>
        <row r="195">
          <cell r="B195">
            <v>335200200600000</v>
          </cell>
          <cell r="C195" t="str">
            <v>Altri oneri per il personale comparto ruolo amministrativo tempo determ.</v>
          </cell>
          <cell r="D195">
            <v>27494.26</v>
          </cell>
          <cell r="E195">
            <v>0</v>
          </cell>
          <cell r="F195">
            <v>-27494.26</v>
          </cell>
        </row>
        <row r="196">
          <cell r="B196">
            <v>335200200900000</v>
          </cell>
          <cell r="C196" t="str">
            <v>Oneri sociali su retribuzione - personale comparto ruolo amministrativo tempo determ.</v>
          </cell>
          <cell r="D196">
            <v>150183.70000000001</v>
          </cell>
          <cell r="E196">
            <v>865.36</v>
          </cell>
          <cell r="F196">
            <v>-149318.34</v>
          </cell>
        </row>
        <row r="197">
          <cell r="B197">
            <v>310500000000000</v>
          </cell>
          <cell r="C197" t="str">
            <v>Manutenzione e riparazione agli automezzi</v>
          </cell>
          <cell r="D197">
            <v>1064.03</v>
          </cell>
          <cell r="E197">
            <v>0</v>
          </cell>
          <cell r="F197">
            <v>-1064.03</v>
          </cell>
        </row>
        <row r="198">
          <cell r="B198">
            <v>310600100000000</v>
          </cell>
          <cell r="C198" t="str">
            <v>Attrezzature informatiche</v>
          </cell>
          <cell r="D198">
            <v>888.16</v>
          </cell>
          <cell r="E198">
            <v>888.16</v>
          </cell>
          <cell r="F198">
            <v>0</v>
          </cell>
        </row>
        <row r="199">
          <cell r="B199">
            <v>315100100000000</v>
          </cell>
          <cell r="C199" t="str">
            <v>Locazioni passive</v>
          </cell>
          <cell r="D199">
            <v>605398.89</v>
          </cell>
          <cell r="E199">
            <v>0</v>
          </cell>
          <cell r="F199">
            <v>-605398.89</v>
          </cell>
        </row>
        <row r="200">
          <cell r="B200">
            <v>315100200000000</v>
          </cell>
          <cell r="C200" t="str">
            <v>Spese condominiali</v>
          </cell>
          <cell r="D200">
            <v>82616.009999999995</v>
          </cell>
          <cell r="E200">
            <v>0</v>
          </cell>
          <cell r="F200">
            <v>-82616.009999999995</v>
          </cell>
        </row>
        <row r="201">
          <cell r="B201">
            <v>315200100000000</v>
          </cell>
          <cell r="C201" t="str">
            <v>Canoni di noleggio - area sanitaria</v>
          </cell>
          <cell r="D201">
            <v>2357042.52</v>
          </cell>
          <cell r="E201">
            <v>0</v>
          </cell>
          <cell r="F201">
            <v>-2357042.52</v>
          </cell>
        </row>
        <row r="202">
          <cell r="B202">
            <v>315200200100000</v>
          </cell>
          <cell r="C202" t="str">
            <v>Canoni hardware e software</v>
          </cell>
          <cell r="D202">
            <v>24680.240000000002</v>
          </cell>
          <cell r="E202">
            <v>0</v>
          </cell>
          <cell r="F202">
            <v>-24680.240000000002</v>
          </cell>
        </row>
        <row r="203">
          <cell r="B203">
            <v>315200200200000</v>
          </cell>
          <cell r="C203" t="str">
            <v>Canoni fotocopiatrici</v>
          </cell>
          <cell r="D203">
            <v>28850.31</v>
          </cell>
          <cell r="E203">
            <v>0</v>
          </cell>
          <cell r="F203">
            <v>-28850.31</v>
          </cell>
        </row>
        <row r="204">
          <cell r="B204">
            <v>315200200900000</v>
          </cell>
          <cell r="C204" t="str">
            <v>Canoni noleggio altro</v>
          </cell>
          <cell r="D204">
            <v>1490.82</v>
          </cell>
          <cell r="E204">
            <v>0</v>
          </cell>
          <cell r="F204">
            <v>-1490.82</v>
          </cell>
        </row>
        <row r="205">
          <cell r="B205">
            <v>340100100000000</v>
          </cell>
          <cell r="C205" t="str">
            <v>Imposte di registro</v>
          </cell>
          <cell r="D205">
            <v>2634.5</v>
          </cell>
          <cell r="E205">
            <v>2</v>
          </cell>
          <cell r="F205">
            <v>-2632.5</v>
          </cell>
        </row>
        <row r="206">
          <cell r="B206">
            <v>340100200000000</v>
          </cell>
          <cell r="C206" t="str">
            <v>Imposte di bollo</v>
          </cell>
          <cell r="D206">
            <v>31232.7</v>
          </cell>
          <cell r="E206">
            <v>2</v>
          </cell>
          <cell r="F206">
            <v>-31230.7</v>
          </cell>
        </row>
        <row r="207">
          <cell r="B207">
            <v>340100400000000</v>
          </cell>
          <cell r="C207" t="str">
            <v>Imposte comunali</v>
          </cell>
          <cell r="D207">
            <v>22330</v>
          </cell>
          <cell r="E207">
            <v>0</v>
          </cell>
          <cell r="F207">
            <v>-22330</v>
          </cell>
        </row>
        <row r="208">
          <cell r="B208">
            <v>340100500000000</v>
          </cell>
          <cell r="C208" t="str">
            <v>Tasse di circolazione automezzi</v>
          </cell>
          <cell r="D208">
            <v>778.8</v>
          </cell>
          <cell r="E208">
            <v>0</v>
          </cell>
          <cell r="F208">
            <v>-778.8</v>
          </cell>
        </row>
        <row r="209">
          <cell r="B209">
            <v>340100900000000</v>
          </cell>
          <cell r="C209" t="str">
            <v>Imposte e tasse diverse</v>
          </cell>
          <cell r="D209">
            <v>9513.65</v>
          </cell>
          <cell r="E209">
            <v>0</v>
          </cell>
          <cell r="F209">
            <v>-9513.65</v>
          </cell>
        </row>
        <row r="210">
          <cell r="B210">
            <v>340300100101000</v>
          </cell>
          <cell r="C210" t="str">
            <v>Indennità organi direttivi e di indirizzo</v>
          </cell>
          <cell r="D210">
            <v>750689.47</v>
          </cell>
          <cell r="E210">
            <v>126809.46</v>
          </cell>
          <cell r="F210">
            <v>-623880.01</v>
          </cell>
        </row>
        <row r="211">
          <cell r="B211">
            <v>340300100103000</v>
          </cell>
          <cell r="C211" t="str">
            <v>Oneri sociali organi direttivi e di indirizzo</v>
          </cell>
          <cell r="D211">
            <v>167275.76999999999</v>
          </cell>
          <cell r="E211">
            <v>94.51</v>
          </cell>
          <cell r="F211">
            <v>-167181.26</v>
          </cell>
        </row>
        <row r="212">
          <cell r="B212">
            <v>340300100109000</v>
          </cell>
          <cell r="C212" t="str">
            <v>Altri compensi Organi direttivi e di indirizzo</v>
          </cell>
          <cell r="D212">
            <v>1840.82</v>
          </cell>
          <cell r="E212">
            <v>0</v>
          </cell>
          <cell r="F212">
            <v>-1840.82</v>
          </cell>
        </row>
        <row r="213">
          <cell r="B213">
            <v>340300100201000</v>
          </cell>
          <cell r="C213" t="str">
            <v>Indennità collegio sindacale</v>
          </cell>
          <cell r="D213">
            <v>58742.04</v>
          </cell>
          <cell r="E213">
            <v>0</v>
          </cell>
          <cell r="F213">
            <v>-58742.04</v>
          </cell>
        </row>
        <row r="214">
          <cell r="B214">
            <v>340300100209000</v>
          </cell>
          <cell r="C214" t="str">
            <v>Altri compensi Collegio sindacale</v>
          </cell>
          <cell r="D214">
            <v>2256.25</v>
          </cell>
          <cell r="E214">
            <v>0</v>
          </cell>
          <cell r="F214">
            <v>-2256.25</v>
          </cell>
        </row>
        <row r="215">
          <cell r="B215">
            <v>340300100301000</v>
          </cell>
          <cell r="C215" t="str">
            <v>Indennità altri organismi</v>
          </cell>
          <cell r="D215">
            <v>17400</v>
          </cell>
          <cell r="E215">
            <v>0</v>
          </cell>
          <cell r="F215">
            <v>-17400</v>
          </cell>
        </row>
        <row r="216">
          <cell r="B216">
            <v>340300100303000</v>
          </cell>
          <cell r="C216" t="str">
            <v>Oneri sociali altri organismi</v>
          </cell>
          <cell r="D216">
            <v>6305.99</v>
          </cell>
          <cell r="E216">
            <v>2455</v>
          </cell>
          <cell r="F216">
            <v>-3850.99</v>
          </cell>
        </row>
        <row r="217">
          <cell r="B217">
            <v>340300200200000</v>
          </cell>
          <cell r="C217" t="str">
            <v>Contravvenzioni e sanzioni amministrative</v>
          </cell>
          <cell r="D217">
            <v>462.38</v>
          </cell>
          <cell r="E217">
            <v>30.32</v>
          </cell>
          <cell r="F217">
            <v>-432.06</v>
          </cell>
        </row>
        <row r="218">
          <cell r="B218">
            <v>345900000000000</v>
          </cell>
          <cell r="C218" t="str">
            <v>Ammortamento altre immobilizzazioni immateriali</v>
          </cell>
          <cell r="D218">
            <v>3904.91</v>
          </cell>
          <cell r="E218">
            <v>0</v>
          </cell>
          <cell r="F218">
            <v>-3904.91</v>
          </cell>
        </row>
        <row r="219">
          <cell r="B219">
            <v>350200100000000</v>
          </cell>
          <cell r="C219" t="str">
            <v>Ammortamento Impianti e macchinari</v>
          </cell>
          <cell r="D219">
            <v>26781.39</v>
          </cell>
          <cell r="E219">
            <v>0</v>
          </cell>
          <cell r="F219">
            <v>-26781.39</v>
          </cell>
        </row>
        <row r="220">
          <cell r="B220">
            <v>350200200000000</v>
          </cell>
          <cell r="C220" t="str">
            <v>Ammortamento Attrezzature sanitarie e scientifiche</v>
          </cell>
          <cell r="D220">
            <v>31187.05</v>
          </cell>
          <cell r="E220">
            <v>0</v>
          </cell>
          <cell r="F220">
            <v>-31187.05</v>
          </cell>
        </row>
        <row r="221">
          <cell r="B221">
            <v>350200300000000</v>
          </cell>
          <cell r="C221" t="str">
            <v>Ammortamento mobili e arredi</v>
          </cell>
          <cell r="D221">
            <v>23697.95</v>
          </cell>
          <cell r="E221">
            <v>0</v>
          </cell>
          <cell r="F221">
            <v>-23697.95</v>
          </cell>
        </row>
        <row r="222">
          <cell r="B222">
            <v>350200400000000</v>
          </cell>
          <cell r="C222" t="str">
            <v>Ammortamento automezzi</v>
          </cell>
          <cell r="D222">
            <v>2013.65</v>
          </cell>
          <cell r="E222">
            <v>0</v>
          </cell>
          <cell r="F222">
            <v>-2013.65</v>
          </cell>
        </row>
        <row r="223">
          <cell r="B223">
            <v>350200500000000</v>
          </cell>
          <cell r="C223" t="str">
            <v>Ammortamento altre immobilizzazioni materiali</v>
          </cell>
          <cell r="D223">
            <v>77676.33</v>
          </cell>
          <cell r="E223">
            <v>0</v>
          </cell>
          <cell r="F223">
            <v>-77676.33</v>
          </cell>
        </row>
        <row r="224">
          <cell r="B224">
            <v>360100010000000</v>
          </cell>
          <cell r="C224" t="str">
            <v>Var. rim. prodotti farmaceutici ed emoderivati</v>
          </cell>
          <cell r="D224">
            <v>400</v>
          </cell>
          <cell r="E224">
            <v>10894115.439999999</v>
          </cell>
          <cell r="F224">
            <v>10893715.439999999</v>
          </cell>
        </row>
        <row r="225">
          <cell r="B225">
            <v>360100030000000</v>
          </cell>
          <cell r="C225" t="str">
            <v>Var. rim. dispositivi medici</v>
          </cell>
          <cell r="D225">
            <v>495</v>
          </cell>
          <cell r="E225">
            <v>1996428.73</v>
          </cell>
          <cell r="F225">
            <v>1995933.73</v>
          </cell>
        </row>
        <row r="226">
          <cell r="B226">
            <v>360100040000000</v>
          </cell>
          <cell r="C226" t="str">
            <v>Var. rim. prodotti dietetici</v>
          </cell>
          <cell r="D226">
            <v>0</v>
          </cell>
          <cell r="E226">
            <v>103481</v>
          </cell>
          <cell r="F226">
            <v>103481</v>
          </cell>
        </row>
        <row r="227">
          <cell r="B227">
            <v>360100050000000</v>
          </cell>
          <cell r="C227" t="str">
            <v>Var. rim. materiali per la profilassi (vaccini)</v>
          </cell>
          <cell r="D227">
            <v>0</v>
          </cell>
          <cell r="E227">
            <v>61261.68</v>
          </cell>
          <cell r="F227">
            <v>61261.68</v>
          </cell>
        </row>
        <row r="228">
          <cell r="B228">
            <v>360100060000000</v>
          </cell>
          <cell r="C228" t="str">
            <v>Var. rim. prodotti chimici</v>
          </cell>
          <cell r="D228">
            <v>0</v>
          </cell>
          <cell r="E228">
            <v>10347.68</v>
          </cell>
          <cell r="F228">
            <v>10347.68</v>
          </cell>
        </row>
        <row r="229">
          <cell r="B229">
            <v>360100070000000</v>
          </cell>
          <cell r="C229" t="str">
            <v>Var. rim. materiali e prodotti per uso veterinario</v>
          </cell>
          <cell r="D229">
            <v>0</v>
          </cell>
          <cell r="E229">
            <v>28708.95</v>
          </cell>
          <cell r="F229">
            <v>28708.95</v>
          </cell>
        </row>
        <row r="230">
          <cell r="B230">
            <v>360100080000000</v>
          </cell>
          <cell r="C230" t="str">
            <v>Var. rim. altri beni e prodotti sanitari</v>
          </cell>
          <cell r="D230">
            <v>318757.28000000003</v>
          </cell>
          <cell r="E230">
            <v>840.17</v>
          </cell>
          <cell r="F230">
            <v>-317917.11</v>
          </cell>
        </row>
        <row r="231">
          <cell r="B231">
            <v>360200010000000</v>
          </cell>
          <cell r="C231" t="str">
            <v>Var. rim. prodotti alimentari</v>
          </cell>
          <cell r="D231">
            <v>0</v>
          </cell>
          <cell r="E231">
            <v>224.46</v>
          </cell>
          <cell r="F231">
            <v>224.46</v>
          </cell>
        </row>
        <row r="232">
          <cell r="B232">
            <v>360200020000000</v>
          </cell>
          <cell r="C232" t="str">
            <v>Var. rim. materiali di guardaroba, di pulizia e di convivenza in genere</v>
          </cell>
          <cell r="D232">
            <v>411616.5</v>
          </cell>
          <cell r="E232">
            <v>0</v>
          </cell>
          <cell r="F232">
            <v>-411616.5</v>
          </cell>
        </row>
        <row r="233">
          <cell r="B233">
            <v>360200040000000</v>
          </cell>
          <cell r="C233" t="str">
            <v>Var. rim. supporti informatici e cancelleria</v>
          </cell>
          <cell r="D233">
            <v>30823.5</v>
          </cell>
          <cell r="E233">
            <v>23397.4</v>
          </cell>
          <cell r="F233">
            <v>-7426.1</v>
          </cell>
        </row>
        <row r="234">
          <cell r="B234">
            <v>360200050000000</v>
          </cell>
          <cell r="C234" t="str">
            <v>Var. rim. materiale per la manutenzione</v>
          </cell>
          <cell r="D234">
            <v>0</v>
          </cell>
          <cell r="E234">
            <v>16552.63</v>
          </cell>
          <cell r="F234">
            <v>16552.63</v>
          </cell>
        </row>
        <row r="235">
          <cell r="B235">
            <v>360200060000000</v>
          </cell>
          <cell r="C235" t="str">
            <v>Var. rim. altri beni e prodotti non sanitari</v>
          </cell>
          <cell r="D235">
            <v>3845.12</v>
          </cell>
          <cell r="E235">
            <v>0</v>
          </cell>
          <cell r="F235">
            <v>-3845.12</v>
          </cell>
        </row>
        <row r="236">
          <cell r="B236">
            <v>365100450000000</v>
          </cell>
          <cell r="C236" t="str">
            <v>Accantonamenti per franchigia assicurativa</v>
          </cell>
          <cell r="D236">
            <v>13801743.380000001</v>
          </cell>
          <cell r="E236">
            <v>0</v>
          </cell>
          <cell r="F236">
            <v>-13801743.380000001</v>
          </cell>
        </row>
        <row r="237">
          <cell r="B237">
            <v>365100600000000</v>
          </cell>
          <cell r="C237" t="str">
            <v>Altri accantonamenti per interessi di mora</v>
          </cell>
          <cell r="D237">
            <v>1000000</v>
          </cell>
          <cell r="E237">
            <v>0</v>
          </cell>
          <cell r="F237">
            <v>-1000000</v>
          </cell>
        </row>
        <row r="238">
          <cell r="B238">
            <v>365300050000000</v>
          </cell>
          <cell r="C238" t="str">
            <v>Accantonamenti per quote inutilizzate contributi da Regione e Prov. Aut. per quota F.S. indistinto finalizzato</v>
          </cell>
          <cell r="D238">
            <v>15774563</v>
          </cell>
          <cell r="E238">
            <v>0</v>
          </cell>
          <cell r="F238">
            <v>-15774563</v>
          </cell>
        </row>
        <row r="239">
          <cell r="B239">
            <v>365300200000000</v>
          </cell>
          <cell r="C239" t="str">
            <v>Accantonamenti per quote inutilizzate contributi da soggetti pubblici (extra fondo) vincolati</v>
          </cell>
          <cell r="D239">
            <v>2649670.73</v>
          </cell>
          <cell r="E239">
            <v>0</v>
          </cell>
          <cell r="F239">
            <v>-2649670.73</v>
          </cell>
        </row>
        <row r="240">
          <cell r="B240">
            <v>365300400200000</v>
          </cell>
          <cell r="C240" t="str">
            <v>Accantonamenti per quote inutilizzate contributi vincolati da privati - altro</v>
          </cell>
          <cell r="D240">
            <v>225.23</v>
          </cell>
          <cell r="E240">
            <v>0</v>
          </cell>
          <cell r="F240">
            <v>-225.23</v>
          </cell>
        </row>
        <row r="241">
          <cell r="B241">
            <v>365400400000000</v>
          </cell>
          <cell r="C241" t="str">
            <v>Acc. Rinnovi contratt.: dirigenza medica</v>
          </cell>
          <cell r="D241">
            <v>2013788.41</v>
          </cell>
          <cell r="E241">
            <v>0</v>
          </cell>
          <cell r="F241">
            <v>-2013788.41</v>
          </cell>
        </row>
        <row r="242">
          <cell r="B242">
            <v>365400500000000</v>
          </cell>
          <cell r="C242" t="str">
            <v>Acc. Rinnovi contratt.: dirigenza non medica</v>
          </cell>
          <cell r="D242">
            <v>68721.3</v>
          </cell>
          <cell r="E242">
            <v>0</v>
          </cell>
          <cell r="F242">
            <v>-68721.3</v>
          </cell>
        </row>
        <row r="243">
          <cell r="B243">
            <v>365400640000000</v>
          </cell>
          <cell r="C243" t="str">
            <v>Acc. Incentivi funzioni tecniche art. 113 D.lgs 50/2016</v>
          </cell>
          <cell r="D243">
            <v>3449.65</v>
          </cell>
          <cell r="E243">
            <v>0</v>
          </cell>
          <cell r="F243">
            <v>-3449.65</v>
          </cell>
        </row>
        <row r="244">
          <cell r="B244">
            <v>365400700000000</v>
          </cell>
          <cell r="C244" t="str">
            <v>Altri accantonamenti</v>
          </cell>
          <cell r="D244">
            <v>525113.68999999994</v>
          </cell>
          <cell r="E244">
            <v>0</v>
          </cell>
          <cell r="F244">
            <v>-525113.68999999994</v>
          </cell>
        </row>
        <row r="245">
          <cell r="B245">
            <v>370300900000000</v>
          </cell>
          <cell r="C245" t="str">
            <v>Altri interessi passivi</v>
          </cell>
          <cell r="D245">
            <v>4.1100000000000003</v>
          </cell>
          <cell r="E245">
            <v>4.1100000000000003</v>
          </cell>
          <cell r="F245">
            <v>0</v>
          </cell>
        </row>
        <row r="246">
          <cell r="B246">
            <v>720200200100000</v>
          </cell>
          <cell r="C246" t="str">
            <v>Sopravvenienze attive per quote FS vincolato</v>
          </cell>
          <cell r="D246">
            <v>0</v>
          </cell>
          <cell r="E246">
            <v>2411121</v>
          </cell>
          <cell r="F246">
            <v>2411121</v>
          </cell>
        </row>
        <row r="247">
          <cell r="B247">
            <v>720200200150000</v>
          </cell>
          <cell r="C247" t="str">
            <v>Sopravvenienze attive v/Aziende sanitarie pubbliche della Regione</v>
          </cell>
          <cell r="D247">
            <v>0</v>
          </cell>
          <cell r="E247">
            <v>60049.45</v>
          </cell>
          <cell r="F247">
            <v>60049.45</v>
          </cell>
        </row>
        <row r="248">
          <cell r="B248">
            <v>720200200202000</v>
          </cell>
          <cell r="C248" t="str">
            <v>Sopravvenienze attive v/terzi relative al personale</v>
          </cell>
          <cell r="D248">
            <v>0</v>
          </cell>
          <cell r="E248">
            <v>3093.92</v>
          </cell>
          <cell r="F248">
            <v>3093.92</v>
          </cell>
        </row>
        <row r="249">
          <cell r="B249">
            <v>720200200206000</v>
          </cell>
          <cell r="C249" t="str">
            <v>Sopravvenienze attive v/terzi relative all'acquisto di beni e servizi</v>
          </cell>
          <cell r="D249">
            <v>0</v>
          </cell>
          <cell r="E249">
            <v>321.62</v>
          </cell>
          <cell r="F249">
            <v>321.62</v>
          </cell>
        </row>
        <row r="250">
          <cell r="B250">
            <v>720200200209000</v>
          </cell>
          <cell r="C250" t="str">
            <v>Altre sopravvenienze attive v/terzi</v>
          </cell>
          <cell r="D250">
            <v>2326</v>
          </cell>
          <cell r="E250">
            <v>2640937.5699999998</v>
          </cell>
          <cell r="F250">
            <v>2638611.5699999998</v>
          </cell>
        </row>
        <row r="251">
          <cell r="B251">
            <v>720200300209000</v>
          </cell>
          <cell r="C251" t="str">
            <v>Altre insussistenze attive v/terzi</v>
          </cell>
          <cell r="D251">
            <v>0</v>
          </cell>
          <cell r="E251">
            <v>22179.18</v>
          </cell>
          <cell r="F251">
            <v>22179.18</v>
          </cell>
        </row>
        <row r="252">
          <cell r="B252">
            <v>720200400000000</v>
          </cell>
          <cell r="C252" t="str">
            <v>Altri proventi straordinari</v>
          </cell>
          <cell r="D252">
            <v>5711.08</v>
          </cell>
          <cell r="E252">
            <v>6126.33</v>
          </cell>
          <cell r="F252">
            <v>415.25</v>
          </cell>
        </row>
        <row r="253">
          <cell r="B253">
            <v>390200300102000</v>
          </cell>
          <cell r="C253" t="str">
            <v>Altre sopravvenienze passive v/Aziende sanitarie pubbliche della Regione</v>
          </cell>
          <cell r="D253">
            <v>116415.59</v>
          </cell>
          <cell r="E253">
            <v>2206.44</v>
          </cell>
          <cell r="F253">
            <v>-114209.15</v>
          </cell>
        </row>
        <row r="254">
          <cell r="B254">
            <v>390200300202015</v>
          </cell>
          <cell r="C254" t="str">
            <v>Soprav. passive v/terzi relative al personale - comparto</v>
          </cell>
          <cell r="D254">
            <v>724.89</v>
          </cell>
          <cell r="E254">
            <v>724.89</v>
          </cell>
          <cell r="F254">
            <v>0</v>
          </cell>
        </row>
        <row r="255">
          <cell r="B255">
            <v>390200300206000</v>
          </cell>
          <cell r="C255" t="str">
            <v>Sopravvenienze passive v/terzi relative all'acquisto di beni e servizi</v>
          </cell>
          <cell r="D255">
            <v>22664.71</v>
          </cell>
          <cell r="E255">
            <v>20484.37</v>
          </cell>
          <cell r="F255">
            <v>-2180.34</v>
          </cell>
        </row>
        <row r="256">
          <cell r="B256">
            <v>390200300209000</v>
          </cell>
          <cell r="C256" t="str">
            <v>Altre sopravvenienze passive v/terzi</v>
          </cell>
          <cell r="D256">
            <v>44237.41</v>
          </cell>
          <cell r="E256">
            <v>263.52</v>
          </cell>
          <cell r="F256">
            <v>-43973.89</v>
          </cell>
        </row>
        <row r="257">
          <cell r="B257">
            <v>390200400100000</v>
          </cell>
          <cell r="C257" t="str">
            <v>Insussistenze passive v/Aziende sanitarie pubbliche della Regione</v>
          </cell>
          <cell r="D257">
            <v>138.34</v>
          </cell>
          <cell r="E257">
            <v>7.7</v>
          </cell>
          <cell r="F257">
            <v>-130.63999999999999</v>
          </cell>
        </row>
        <row r="258">
          <cell r="B258">
            <v>390200400207000</v>
          </cell>
          <cell r="C258" t="str">
            <v>Altre insussistenze passive v/terzi</v>
          </cell>
          <cell r="D258">
            <v>2657.86</v>
          </cell>
          <cell r="E258">
            <v>3.35</v>
          </cell>
          <cell r="F258">
            <v>-2654.51</v>
          </cell>
        </row>
        <row r="259">
          <cell r="B259">
            <v>390200500000000</v>
          </cell>
          <cell r="C259" t="str">
            <v>Altri oneri straordinari</v>
          </cell>
          <cell r="D259">
            <v>9384.2099999999991</v>
          </cell>
          <cell r="E259">
            <v>22.32</v>
          </cell>
          <cell r="F259">
            <v>-9361.89</v>
          </cell>
        </row>
        <row r="260">
          <cell r="B260">
            <v>400100000000000</v>
          </cell>
          <cell r="C260" t="str">
            <v>IRAP relativa a personale dipendente</v>
          </cell>
          <cell r="D260">
            <v>852323.16</v>
          </cell>
          <cell r="E260">
            <v>141530.59</v>
          </cell>
          <cell r="F260">
            <v>-710792.57</v>
          </cell>
        </row>
        <row r="261">
          <cell r="B261">
            <v>400200000000000</v>
          </cell>
          <cell r="C261" t="str">
            <v>IRAP relativa a collaboratori e personale assimilato a lavoro dipendente</v>
          </cell>
          <cell r="D261">
            <v>235542.97</v>
          </cell>
          <cell r="E261">
            <v>1342.3</v>
          </cell>
          <cell r="F261">
            <v>-234200.67</v>
          </cell>
        </row>
        <row r="262">
          <cell r="B262">
            <v>405200000000000</v>
          </cell>
          <cell r="C262" t="str">
            <v>IRES su attività commerciale</v>
          </cell>
          <cell r="D262">
            <v>75857</v>
          </cell>
          <cell r="E262">
            <v>0</v>
          </cell>
          <cell r="F262">
            <v>-75857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 Costi"/>
    </sheetNames>
    <sheetDataSet>
      <sheetData sheetId="0">
        <row r="895">
          <cell r="H895">
            <v>456596472.36000007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E"/>
      <sheetName val="CE Min"/>
      <sheetName val="Alimentazione CE Costi"/>
      <sheetName val="Alimentazione CE Ricavi"/>
      <sheetName val="Schema SP"/>
      <sheetName val="SP Min"/>
      <sheetName val="SP Attivo Alim"/>
      <sheetName val="Alimentazione SP P"/>
      <sheetName val="Rendiconto finanziario"/>
      <sheetName val="ce art. 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E"/>
      <sheetName val="Foglio1"/>
      <sheetName val="CE Min"/>
      <sheetName val="Alimentazione CE Costi"/>
      <sheetName val="Alimentazione CE Ricavi"/>
      <sheetName val="Schema SP"/>
      <sheetName val="Foglio2"/>
      <sheetName val="SP Min"/>
      <sheetName val="SP Attivo Alim"/>
      <sheetName val="Alimentazione SP P"/>
      <sheetName val="Rendiconto finanziario"/>
      <sheetName val="ce art. 44"/>
    </sheetNames>
    <sheetDataSet>
      <sheetData sheetId="0"/>
      <sheetData sheetId="1"/>
      <sheetData sheetId="2"/>
      <sheetData sheetId="3"/>
      <sheetData sheetId="4"/>
      <sheetData sheetId="5">
        <row r="159">
          <cell r="I159">
            <v>0</v>
          </cell>
          <cell r="J15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0"/>
  <sheetViews>
    <sheetView topLeftCell="A31" workbookViewId="0">
      <selection activeCell="I119" sqref="I119"/>
    </sheetView>
  </sheetViews>
  <sheetFormatPr defaultColWidth="9.140625" defaultRowHeight="12.75"/>
  <cols>
    <col min="1" max="2" width="3.42578125" style="665" customWidth="1"/>
    <col min="3" max="4" width="2.7109375" style="665" customWidth="1"/>
    <col min="5" max="5" width="3.42578125" style="665" customWidth="1"/>
    <col min="6" max="6" width="40.7109375" style="512" customWidth="1"/>
    <col min="7" max="7" width="13.140625" style="550" bestFit="1" customWidth="1"/>
    <col min="8" max="8" width="12.85546875" style="550" bestFit="1" customWidth="1"/>
    <col min="9" max="9" width="13" style="661" customWidth="1"/>
    <col min="10" max="10" width="13" style="661" bestFit="1" customWidth="1"/>
    <col min="11" max="11" width="12" style="662" bestFit="1" customWidth="1"/>
    <col min="12" max="12" width="9.42578125" style="663" bestFit="1" customWidth="1"/>
    <col min="13" max="13" width="13.42578125" style="512" bestFit="1" customWidth="1"/>
    <col min="14" max="14" width="14.28515625" style="512" bestFit="1" customWidth="1"/>
    <col min="15" max="16" width="9.140625" style="512"/>
    <col min="17" max="17" width="12.7109375" style="512" bestFit="1" customWidth="1"/>
    <col min="18" max="18" width="9.140625" style="512"/>
    <col min="19" max="19" width="10.85546875" style="512" bestFit="1" customWidth="1"/>
    <col min="20" max="16384" width="9.140625" style="512"/>
  </cols>
  <sheetData>
    <row r="1" spans="1:20" ht="32.25" customHeight="1" thickBot="1">
      <c r="A1" s="719" t="s">
        <v>3828</v>
      </c>
      <c r="B1" s="720"/>
      <c r="C1" s="720"/>
      <c r="D1" s="720"/>
      <c r="E1" s="720"/>
      <c r="F1" s="720"/>
      <c r="G1" s="720"/>
      <c r="H1" s="720"/>
      <c r="I1" s="720"/>
      <c r="J1" s="720"/>
      <c r="K1" s="721" t="s">
        <v>3829</v>
      </c>
      <c r="L1" s="722"/>
    </row>
    <row r="2" spans="1:20" ht="7.5" customHeight="1" thickBot="1">
      <c r="A2" s="513"/>
      <c r="B2" s="513"/>
      <c r="C2" s="513"/>
      <c r="D2" s="513"/>
      <c r="E2" s="513"/>
      <c r="F2" s="514"/>
      <c r="G2" s="515"/>
      <c r="H2" s="515"/>
      <c r="I2" s="516"/>
      <c r="J2" s="517"/>
      <c r="K2" s="518"/>
      <c r="L2" s="519"/>
    </row>
    <row r="3" spans="1:20" ht="13.15" customHeight="1">
      <c r="A3" s="723" t="s">
        <v>1808</v>
      </c>
      <c r="B3" s="724"/>
      <c r="C3" s="724"/>
      <c r="D3" s="724"/>
      <c r="E3" s="724"/>
      <c r="F3" s="724"/>
      <c r="G3" s="724"/>
      <c r="H3" s="724"/>
      <c r="I3" s="728" t="s">
        <v>3830</v>
      </c>
      <c r="J3" s="728" t="s">
        <v>3831</v>
      </c>
      <c r="K3" s="730" t="s">
        <v>2581</v>
      </c>
      <c r="L3" s="731"/>
    </row>
    <row r="4" spans="1:20" ht="39.75" customHeight="1">
      <c r="A4" s="725"/>
      <c r="B4" s="726"/>
      <c r="C4" s="726"/>
      <c r="D4" s="726"/>
      <c r="E4" s="726"/>
      <c r="F4" s="726"/>
      <c r="G4" s="727"/>
      <c r="H4" s="726"/>
      <c r="I4" s="729"/>
      <c r="J4" s="729"/>
      <c r="K4" s="520" t="s">
        <v>2</v>
      </c>
      <c r="L4" s="521" t="s">
        <v>3</v>
      </c>
    </row>
    <row r="5" spans="1:20">
      <c r="A5" s="522"/>
      <c r="B5" s="523"/>
      <c r="C5" s="523"/>
      <c r="D5" s="523"/>
      <c r="E5" s="523"/>
      <c r="F5" s="524"/>
      <c r="G5" s="525"/>
      <c r="H5" s="526"/>
      <c r="I5" s="527"/>
      <c r="J5" s="527"/>
      <c r="K5" s="528"/>
      <c r="L5" s="529"/>
    </row>
    <row r="6" spans="1:20" s="539" customFormat="1" ht="11.25">
      <c r="A6" s="530" t="s">
        <v>4</v>
      </c>
      <c r="B6" s="531" t="s">
        <v>3832</v>
      </c>
      <c r="C6" s="532"/>
      <c r="D6" s="532"/>
      <c r="E6" s="532"/>
      <c r="F6" s="533"/>
      <c r="G6" s="534"/>
      <c r="H6" s="534"/>
      <c r="I6" s="535"/>
      <c r="J6" s="536"/>
      <c r="K6" s="537"/>
      <c r="L6" s="538"/>
    </row>
    <row r="7" spans="1:20" s="539" customFormat="1" ht="11.25">
      <c r="A7" s="540"/>
      <c r="B7" s="532" t="s">
        <v>3833</v>
      </c>
      <c r="C7" s="541" t="s">
        <v>3834</v>
      </c>
      <c r="D7" s="532"/>
      <c r="E7" s="532"/>
      <c r="F7" s="533"/>
      <c r="G7" s="534"/>
      <c r="H7" s="534"/>
      <c r="I7" s="542">
        <f>SUM(I8:I12)</f>
        <v>6068</v>
      </c>
      <c r="J7" s="542">
        <f>SUM(J8:J12)</f>
        <v>9273</v>
      </c>
      <c r="K7" s="543">
        <f>+I7-J7</f>
        <v>-3205</v>
      </c>
      <c r="L7" s="142">
        <f>IF(J7=0,"-    ",K7/J7)</f>
        <v>-0.3456270893993314</v>
      </c>
      <c r="M7" s="544"/>
    </row>
    <row r="8" spans="1:20" s="550" customFormat="1" ht="11.25">
      <c r="A8" s="530"/>
      <c r="B8" s="532"/>
      <c r="C8" s="545" t="s">
        <v>86</v>
      </c>
      <c r="D8" s="151" t="s">
        <v>3835</v>
      </c>
      <c r="E8" s="532"/>
      <c r="F8" s="546"/>
      <c r="G8" s="547"/>
      <c r="H8" s="547"/>
      <c r="I8" s="548">
        <f>ROUND(+'11. SP Min'!D8-'11. SP Min'!D30,0)</f>
        <v>0</v>
      </c>
      <c r="J8" s="548">
        <f>ROUND(+'11. SP Min'!E8-'11. SP Min'!E30,0)</f>
        <v>0</v>
      </c>
      <c r="K8" s="543">
        <f t="shared" ref="K8:K37" si="0">+I8-J8</f>
        <v>0</v>
      </c>
      <c r="L8" s="549" t="str">
        <f t="shared" ref="L8:L36" si="1">IF(J8=0,"-    ",K8/J8)</f>
        <v xml:space="preserve">-    </v>
      </c>
      <c r="M8" s="544"/>
    </row>
    <row r="9" spans="1:20" s="550" customFormat="1" ht="11.25">
      <c r="A9" s="551"/>
      <c r="B9" s="532"/>
      <c r="C9" s="545" t="s">
        <v>88</v>
      </c>
      <c r="D9" s="151" t="s">
        <v>3836</v>
      </c>
      <c r="E9" s="532"/>
      <c r="F9" s="552"/>
      <c r="G9" s="547"/>
      <c r="H9" s="547"/>
      <c r="I9" s="553">
        <f>ROUND(+'11. SP Min'!D11-'11. SP Min'!D31,0)</f>
        <v>0</v>
      </c>
      <c r="J9" s="553">
        <f>ROUND(+'11. SP Min'!E11-'11. SP Min'!E31,0)</f>
        <v>0</v>
      </c>
      <c r="K9" s="543">
        <f t="shared" si="0"/>
        <v>0</v>
      </c>
      <c r="L9" s="549" t="str">
        <f t="shared" si="1"/>
        <v xml:space="preserve">-    </v>
      </c>
      <c r="M9" s="544"/>
    </row>
    <row r="10" spans="1:20" s="550" customFormat="1" ht="11.25">
      <c r="A10" s="551"/>
      <c r="B10" s="532"/>
      <c r="C10" s="545" t="s">
        <v>116</v>
      </c>
      <c r="D10" s="151" t="s">
        <v>3837</v>
      </c>
      <c r="E10" s="532"/>
      <c r="F10" s="552"/>
      <c r="G10" s="547"/>
      <c r="H10" s="547"/>
      <c r="I10" s="553">
        <f>ROUND(+'11. SP Min'!D14-'11. SP Min'!D32,0)</f>
        <v>0</v>
      </c>
      <c r="J10" s="553">
        <f>ROUND(+'11. SP Min'!E14-'11. SP Min'!E32,0)</f>
        <v>0</v>
      </c>
      <c r="K10" s="543">
        <f t="shared" si="0"/>
        <v>0</v>
      </c>
      <c r="L10" s="549" t="str">
        <f t="shared" si="1"/>
        <v xml:space="preserve">-    </v>
      </c>
      <c r="M10" s="544"/>
      <c r="Q10" s="554"/>
      <c r="R10" s="554"/>
      <c r="S10" s="554"/>
      <c r="T10" s="554"/>
    </row>
    <row r="11" spans="1:20" s="550" customFormat="1" ht="11.25">
      <c r="A11" s="551"/>
      <c r="B11" s="532"/>
      <c r="C11" s="545" t="s">
        <v>3838</v>
      </c>
      <c r="D11" s="151" t="s">
        <v>2631</v>
      </c>
      <c r="E11" s="532"/>
      <c r="F11" s="552"/>
      <c r="G11" s="547"/>
      <c r="H11" s="547"/>
      <c r="I11" s="553">
        <f>ROUND(+'11. SP Min'!D19,0)</f>
        <v>0</v>
      </c>
      <c r="J11" s="553">
        <f>ROUND(+'11. SP Min'!E19,0)</f>
        <v>0</v>
      </c>
      <c r="K11" s="543">
        <f t="shared" si="0"/>
        <v>0</v>
      </c>
      <c r="L11" s="549" t="str">
        <f t="shared" si="1"/>
        <v xml:space="preserve">-    </v>
      </c>
      <c r="M11" s="544"/>
      <c r="Q11" s="554"/>
      <c r="R11" s="554"/>
      <c r="S11" s="554"/>
      <c r="T11" s="554"/>
    </row>
    <row r="12" spans="1:20" s="550" customFormat="1" ht="11.25">
      <c r="A12" s="551"/>
      <c r="B12" s="532"/>
      <c r="C12" s="545" t="s">
        <v>3839</v>
      </c>
      <c r="D12" s="151" t="s">
        <v>2654</v>
      </c>
      <c r="E12" s="532"/>
      <c r="F12" s="552"/>
      <c r="G12" s="547"/>
      <c r="H12" s="547"/>
      <c r="I12" s="553">
        <f>ROUND(+'11. SP Min'!D20-'11. SP Min'!D33,0)</f>
        <v>6068</v>
      </c>
      <c r="J12" s="553">
        <f>ROUND(+'11. SP Min'!E20-'11. SP Min'!E33,0)</f>
        <v>9273</v>
      </c>
      <c r="K12" s="543">
        <f t="shared" si="0"/>
        <v>-3205</v>
      </c>
      <c r="L12" s="549">
        <f t="shared" si="1"/>
        <v>-0.3456270893993314</v>
      </c>
      <c r="M12" s="544"/>
      <c r="Q12" s="554"/>
      <c r="R12" s="554"/>
      <c r="S12" s="554"/>
      <c r="T12" s="554"/>
    </row>
    <row r="13" spans="1:20" s="539" customFormat="1" ht="11.25">
      <c r="A13" s="540"/>
      <c r="B13" s="532" t="s">
        <v>3840</v>
      </c>
      <c r="C13" s="555" t="s">
        <v>3841</v>
      </c>
      <c r="D13" s="532"/>
      <c r="E13" s="532"/>
      <c r="F13" s="533"/>
      <c r="G13" s="534"/>
      <c r="H13" s="534"/>
      <c r="I13" s="542">
        <f>I14+I17+SUM(I20:I26)</f>
        <v>415631</v>
      </c>
      <c r="J13" s="542">
        <f>J14+J17+SUM(J20:J26)</f>
        <v>492713</v>
      </c>
      <c r="K13" s="543">
        <f t="shared" si="0"/>
        <v>-77082</v>
      </c>
      <c r="L13" s="538">
        <f t="shared" si="1"/>
        <v>-0.15644401507571346</v>
      </c>
      <c r="M13" s="544"/>
      <c r="Q13" s="556"/>
      <c r="R13" s="556"/>
      <c r="S13" s="556"/>
      <c r="T13" s="556"/>
    </row>
    <row r="14" spans="1:20" s="550" customFormat="1" ht="11.25">
      <c r="A14" s="530"/>
      <c r="B14" s="532"/>
      <c r="C14" s="545" t="s">
        <v>86</v>
      </c>
      <c r="D14" s="151" t="s">
        <v>3842</v>
      </c>
      <c r="E14" s="545"/>
      <c r="F14" s="557"/>
      <c r="G14" s="547"/>
      <c r="H14" s="547"/>
      <c r="I14" s="553">
        <f>SUM(I15:I16)</f>
        <v>0</v>
      </c>
      <c r="J14" s="553">
        <f>SUM(J15:J16)</f>
        <v>0</v>
      </c>
      <c r="K14" s="543">
        <f t="shared" si="0"/>
        <v>0</v>
      </c>
      <c r="L14" s="538" t="str">
        <f t="shared" si="1"/>
        <v xml:space="preserve">-    </v>
      </c>
      <c r="M14" s="544"/>
      <c r="Q14" s="554"/>
      <c r="R14" s="554"/>
      <c r="S14" s="554"/>
      <c r="T14" s="554"/>
    </row>
    <row r="15" spans="1:20" s="564" customFormat="1" ht="11.25">
      <c r="A15" s="558"/>
      <c r="B15" s="559"/>
      <c r="C15" s="560"/>
      <c r="D15" s="560" t="s">
        <v>3843</v>
      </c>
      <c r="E15" s="561" t="s">
        <v>2678</v>
      </c>
      <c r="F15" s="562"/>
      <c r="G15" s="563"/>
      <c r="H15" s="563"/>
      <c r="I15" s="553">
        <f>ROUND(+'11. SP Min'!D36+'7. SP Attivo Alim'!F100,0)</f>
        <v>0</v>
      </c>
      <c r="J15" s="553">
        <f>ROUND(+'11. SP Min'!E36+'7. SP Attivo Alim'!G100,0)</f>
        <v>0</v>
      </c>
      <c r="K15" s="543">
        <f t="shared" si="0"/>
        <v>0</v>
      </c>
      <c r="L15" s="538" t="str">
        <f t="shared" si="1"/>
        <v xml:space="preserve">-    </v>
      </c>
      <c r="M15" s="544"/>
      <c r="Q15" s="565"/>
      <c r="R15" s="565"/>
      <c r="S15" s="565"/>
      <c r="T15" s="565"/>
    </row>
    <row r="16" spans="1:20" s="564" customFormat="1" ht="11.25">
      <c r="A16" s="558"/>
      <c r="B16" s="559"/>
      <c r="C16" s="560"/>
      <c r="D16" s="560" t="s">
        <v>3844</v>
      </c>
      <c r="E16" s="566" t="s">
        <v>2681</v>
      </c>
      <c r="F16" s="557"/>
      <c r="G16" s="563"/>
      <c r="H16" s="563"/>
      <c r="I16" s="553">
        <f>ROUND(+'11. SP Min'!D37+'7. SP Attivo Alim'!F104,0)</f>
        <v>0</v>
      </c>
      <c r="J16" s="553">
        <f>ROUND(+'11. SP Min'!E37+'7. SP Attivo Alim'!G104,0)</f>
        <v>0</v>
      </c>
      <c r="K16" s="543">
        <f t="shared" si="0"/>
        <v>0</v>
      </c>
      <c r="L16" s="538" t="str">
        <f t="shared" si="1"/>
        <v xml:space="preserve">-    </v>
      </c>
      <c r="M16" s="544"/>
      <c r="Q16" s="565"/>
      <c r="R16" s="565"/>
      <c r="S16" s="565"/>
      <c r="T16" s="565"/>
    </row>
    <row r="17" spans="1:20" s="550" customFormat="1" ht="11.25">
      <c r="A17" s="530"/>
      <c r="B17" s="532"/>
      <c r="C17" s="545" t="s">
        <v>88</v>
      </c>
      <c r="D17" s="157" t="s">
        <v>3845</v>
      </c>
      <c r="E17" s="532"/>
      <c r="F17" s="552"/>
      <c r="G17" s="547"/>
      <c r="H17" s="547"/>
      <c r="I17" s="553">
        <f>SUM(I18:I19)</f>
        <v>0</v>
      </c>
      <c r="J17" s="553">
        <f>SUM(J18:J19)</f>
        <v>0</v>
      </c>
      <c r="K17" s="543">
        <f t="shared" si="0"/>
        <v>0</v>
      </c>
      <c r="L17" s="549" t="str">
        <f t="shared" si="1"/>
        <v xml:space="preserve">-    </v>
      </c>
      <c r="M17" s="544"/>
      <c r="Q17" s="554"/>
      <c r="R17" s="554"/>
      <c r="S17" s="554"/>
      <c r="T17" s="554"/>
    </row>
    <row r="18" spans="1:20" s="550" customFormat="1" ht="11.25">
      <c r="A18" s="530"/>
      <c r="B18" s="532"/>
      <c r="C18" s="545"/>
      <c r="D18" s="560" t="s">
        <v>3843</v>
      </c>
      <c r="E18" s="561" t="s">
        <v>2688</v>
      </c>
      <c r="F18" s="557"/>
      <c r="G18" s="547"/>
      <c r="H18" s="547"/>
      <c r="I18" s="553">
        <f>ROUND('11. SP Min'!D39+'7. SP Attivo Alim'!F103,0)</f>
        <v>0</v>
      </c>
      <c r="J18" s="553">
        <f>ROUND('11. SP Min'!E39+'7. SP Attivo Alim'!G103,0)</f>
        <v>0</v>
      </c>
      <c r="K18" s="543">
        <f t="shared" si="0"/>
        <v>0</v>
      </c>
      <c r="L18" s="549" t="str">
        <f t="shared" si="1"/>
        <v xml:space="preserve">-    </v>
      </c>
      <c r="M18" s="544"/>
      <c r="Q18" s="554"/>
      <c r="R18" s="554"/>
      <c r="S18" s="554"/>
      <c r="T18" s="554"/>
    </row>
    <row r="19" spans="1:20" s="550" customFormat="1" ht="11.25">
      <c r="A19" s="530"/>
      <c r="B19" s="532"/>
      <c r="C19" s="545"/>
      <c r="D19" s="560" t="s">
        <v>3844</v>
      </c>
      <c r="E19" s="561" t="s">
        <v>2696</v>
      </c>
      <c r="F19" s="151"/>
      <c r="G19" s="547"/>
      <c r="H19" s="547"/>
      <c r="I19" s="553">
        <f>+ROUND('11. SP Min'!D42+'7. SP Attivo Alim'!F101,0)</f>
        <v>0</v>
      </c>
      <c r="J19" s="553">
        <f>+ROUND('11. SP Min'!E42+'7. SP Attivo Alim'!G101,0)</f>
        <v>0</v>
      </c>
      <c r="K19" s="543">
        <f t="shared" si="0"/>
        <v>0</v>
      </c>
      <c r="L19" s="549" t="str">
        <f t="shared" si="1"/>
        <v xml:space="preserve">-    </v>
      </c>
      <c r="M19" s="544"/>
      <c r="Q19" s="554"/>
      <c r="R19" s="554"/>
      <c r="S19" s="554"/>
      <c r="T19" s="554"/>
    </row>
    <row r="20" spans="1:20" s="550" customFormat="1" ht="11.25">
      <c r="A20" s="530"/>
      <c r="B20" s="532"/>
      <c r="C20" s="545" t="s">
        <v>116</v>
      </c>
      <c r="D20" s="157" t="s">
        <v>2704</v>
      </c>
      <c r="E20" s="532"/>
      <c r="F20" s="151"/>
      <c r="G20" s="547"/>
      <c r="H20" s="547"/>
      <c r="I20" s="553">
        <f>+ROUND('11. SP Min'!D45+'7. SP Attivo Alim'!F106,0)</f>
        <v>102937</v>
      </c>
      <c r="J20" s="553">
        <f>+ROUND('11. SP Min'!E45+'7. SP Attivo Alim'!G106,0)</f>
        <v>129718</v>
      </c>
      <c r="K20" s="543">
        <f t="shared" si="0"/>
        <v>-26781</v>
      </c>
      <c r="L20" s="549">
        <f t="shared" si="1"/>
        <v>-0.20645554202192448</v>
      </c>
      <c r="M20" s="544"/>
      <c r="Q20" s="554"/>
      <c r="R20" s="554"/>
      <c r="S20" s="554"/>
      <c r="T20" s="554"/>
    </row>
    <row r="21" spans="1:20" s="550" customFormat="1" ht="11.25">
      <c r="A21" s="530"/>
      <c r="B21" s="532"/>
      <c r="C21" s="545" t="s">
        <v>3838</v>
      </c>
      <c r="D21" s="567" t="s">
        <v>2712</v>
      </c>
      <c r="E21" s="532"/>
      <c r="F21" s="552"/>
      <c r="G21" s="547"/>
      <c r="H21" s="547"/>
      <c r="I21" s="553">
        <f>+ROUND('11. SP Min'!D48+'7. SP Attivo Alim'!F108,0)</f>
        <v>44457</v>
      </c>
      <c r="J21" s="553">
        <f>+ROUND('11. SP Min'!E48+'7. SP Attivo Alim'!G108,0)</f>
        <v>75644</v>
      </c>
      <c r="K21" s="543">
        <f t="shared" si="0"/>
        <v>-31187</v>
      </c>
      <c r="L21" s="549">
        <f t="shared" si="1"/>
        <v>-0.41228649992068106</v>
      </c>
      <c r="M21" s="544"/>
      <c r="Q21" s="554"/>
      <c r="R21" s="554"/>
      <c r="S21" s="554"/>
      <c r="T21" s="554"/>
    </row>
    <row r="22" spans="1:20" s="550" customFormat="1" ht="11.25">
      <c r="A22" s="530"/>
      <c r="B22" s="532"/>
      <c r="C22" s="545" t="s">
        <v>3839</v>
      </c>
      <c r="D22" s="157" t="s">
        <v>2720</v>
      </c>
      <c r="E22" s="532"/>
      <c r="F22" s="546"/>
      <c r="G22" s="547"/>
      <c r="H22" s="547"/>
      <c r="I22" s="553">
        <f>+ROUND('11. SP Min'!D51+'7. SP Attivo Alim'!F110,0)</f>
        <v>102947</v>
      </c>
      <c r="J22" s="553">
        <f>+ROUND('11. SP Min'!E51+'7. SP Attivo Alim'!G110,0)</f>
        <v>93133</v>
      </c>
      <c r="K22" s="543">
        <f t="shared" si="0"/>
        <v>9814</v>
      </c>
      <c r="L22" s="549">
        <f t="shared" si="1"/>
        <v>0.10537618244875609</v>
      </c>
      <c r="M22" s="544"/>
      <c r="Q22" s="554"/>
      <c r="R22" s="554"/>
      <c r="S22" s="554"/>
      <c r="T22" s="554"/>
    </row>
    <row r="23" spans="1:20" s="550" customFormat="1" ht="11.25">
      <c r="A23" s="530"/>
      <c r="B23" s="532"/>
      <c r="C23" s="545" t="s">
        <v>3846</v>
      </c>
      <c r="D23" s="157" t="s">
        <v>2728</v>
      </c>
      <c r="E23" s="532"/>
      <c r="F23" s="151"/>
      <c r="G23" s="547"/>
      <c r="H23" s="547"/>
      <c r="I23" s="553">
        <f>+ROUND('11. SP Min'!D54+'7. SP Attivo Alim'!F112,0)</f>
        <v>1007</v>
      </c>
      <c r="J23" s="553">
        <f>+ROUND('11. SP Min'!E54+'7. SP Attivo Alim'!G112,0)</f>
        <v>3020</v>
      </c>
      <c r="K23" s="543">
        <f t="shared" si="0"/>
        <v>-2013</v>
      </c>
      <c r="L23" s="549">
        <f t="shared" si="1"/>
        <v>-0.66655629139072847</v>
      </c>
      <c r="M23" s="544"/>
      <c r="Q23" s="554"/>
      <c r="R23" s="554"/>
      <c r="S23" s="554"/>
      <c r="T23" s="554"/>
    </row>
    <row r="24" spans="1:20" s="550" customFormat="1" ht="11.25">
      <c r="A24" s="530"/>
      <c r="B24" s="532"/>
      <c r="C24" s="545" t="s">
        <v>3847</v>
      </c>
      <c r="D24" s="157" t="s">
        <v>2734</v>
      </c>
      <c r="E24" s="532"/>
      <c r="F24" s="151"/>
      <c r="G24" s="547"/>
      <c r="H24" s="547"/>
      <c r="I24" s="553">
        <f>+ROUND('11. SP Min'!D57+'7. SP Attivo Alim'!F114,0)</f>
        <v>0</v>
      </c>
      <c r="J24" s="553">
        <f>+ROUND('11. SP Min'!E57+'7. SP Attivo Alim'!G114,0)</f>
        <v>0</v>
      </c>
      <c r="K24" s="543">
        <f t="shared" si="0"/>
        <v>0</v>
      </c>
      <c r="L24" s="549" t="str">
        <f t="shared" si="1"/>
        <v xml:space="preserve">-    </v>
      </c>
      <c r="M24" s="544"/>
      <c r="Q24" s="554"/>
      <c r="R24" s="554"/>
      <c r="S24" s="554"/>
      <c r="T24" s="554"/>
    </row>
    <row r="25" spans="1:20" s="550" customFormat="1" ht="11.25">
      <c r="A25" s="530"/>
      <c r="B25" s="532"/>
      <c r="C25" s="545" t="s">
        <v>3848</v>
      </c>
      <c r="D25" s="151" t="s">
        <v>2739</v>
      </c>
      <c r="E25" s="532"/>
      <c r="F25" s="552"/>
      <c r="G25" s="547"/>
      <c r="H25" s="547"/>
      <c r="I25" s="553">
        <f>+ROUND('11. SP Min'!D58+'7. SP Attivo Alim'!F116,0)</f>
        <v>164283</v>
      </c>
      <c r="J25" s="553">
        <f>+ROUND('11. SP Min'!E58+'7. SP Attivo Alim'!G116,0)</f>
        <v>191198</v>
      </c>
      <c r="K25" s="543">
        <f t="shared" si="0"/>
        <v>-26915</v>
      </c>
      <c r="L25" s="549">
        <f t="shared" si="1"/>
        <v>-0.14077030094457055</v>
      </c>
      <c r="M25" s="544"/>
      <c r="Q25" s="554"/>
      <c r="R25" s="554"/>
      <c r="S25" s="554"/>
      <c r="T25" s="554"/>
    </row>
    <row r="26" spans="1:20" s="550" customFormat="1" ht="11.25">
      <c r="A26" s="530"/>
      <c r="B26" s="532"/>
      <c r="C26" s="545" t="s">
        <v>3849</v>
      </c>
      <c r="D26" s="151" t="s">
        <v>2745</v>
      </c>
      <c r="E26" s="532"/>
      <c r="F26" s="546"/>
      <c r="G26" s="547"/>
      <c r="H26" s="547"/>
      <c r="I26" s="553">
        <f>+ROUND('11. SP Min'!D61,0)</f>
        <v>0</v>
      </c>
      <c r="J26" s="553">
        <f>+ROUND('11. SP Min'!E61,0)</f>
        <v>0</v>
      </c>
      <c r="K26" s="543">
        <f t="shared" si="0"/>
        <v>0</v>
      </c>
      <c r="L26" s="549" t="str">
        <f t="shared" si="1"/>
        <v xml:space="preserve">-    </v>
      </c>
      <c r="M26" s="544"/>
      <c r="Q26" s="554"/>
      <c r="R26" s="554"/>
      <c r="S26" s="554"/>
      <c r="T26" s="554"/>
    </row>
    <row r="27" spans="1:20" s="550" customFormat="1" ht="11.25">
      <c r="A27" s="530"/>
      <c r="B27" s="532"/>
      <c r="C27" s="545"/>
      <c r="D27" s="532"/>
      <c r="E27" s="532"/>
      <c r="F27" s="157"/>
      <c r="G27" s="568" t="s">
        <v>3850</v>
      </c>
      <c r="H27" s="568" t="s">
        <v>3851</v>
      </c>
      <c r="I27" s="553"/>
      <c r="J27" s="553"/>
      <c r="K27" s="543">
        <f t="shared" si="0"/>
        <v>0</v>
      </c>
      <c r="L27" s="549" t="str">
        <f t="shared" si="1"/>
        <v xml:space="preserve">-    </v>
      </c>
      <c r="M27" s="544"/>
      <c r="Q27" s="554"/>
      <c r="R27" s="554"/>
      <c r="S27" s="554"/>
      <c r="T27" s="554"/>
    </row>
    <row r="28" spans="1:20" s="539" customFormat="1" ht="40.5" customHeight="1">
      <c r="A28" s="540"/>
      <c r="B28" s="532" t="s">
        <v>3852</v>
      </c>
      <c r="C28" s="732" t="s">
        <v>3853</v>
      </c>
      <c r="D28" s="732"/>
      <c r="E28" s="732"/>
      <c r="F28" s="733"/>
      <c r="G28" s="542">
        <f t="shared" ref="G28:H28" si="2">G29+G34</f>
        <v>0</v>
      </c>
      <c r="H28" s="542">
        <f t="shared" si="2"/>
        <v>0</v>
      </c>
      <c r="I28" s="542">
        <f>I29+I34</f>
        <v>0</v>
      </c>
      <c r="J28" s="542">
        <f>J29+J34</f>
        <v>0</v>
      </c>
      <c r="K28" s="543">
        <f t="shared" si="0"/>
        <v>0</v>
      </c>
      <c r="L28" s="538" t="str">
        <f t="shared" si="1"/>
        <v xml:space="preserve">-    </v>
      </c>
      <c r="M28" s="544"/>
      <c r="Q28" s="556"/>
      <c r="R28" s="556"/>
      <c r="S28" s="556"/>
      <c r="T28" s="556"/>
    </row>
    <row r="29" spans="1:20" s="550" customFormat="1" ht="11.25">
      <c r="A29" s="551"/>
      <c r="B29" s="532"/>
      <c r="C29" s="545" t="s">
        <v>86</v>
      </c>
      <c r="D29" s="569" t="s">
        <v>3854</v>
      </c>
      <c r="E29" s="552"/>
      <c r="F29" s="552"/>
      <c r="G29" s="553">
        <f t="shared" ref="G29:H29" si="3">SUM(G30:G33)</f>
        <v>0</v>
      </c>
      <c r="H29" s="553">
        <f t="shared" si="3"/>
        <v>0</v>
      </c>
      <c r="I29" s="553">
        <f>SUM(I30:I33)</f>
        <v>0</v>
      </c>
      <c r="J29" s="553">
        <f>SUM(J30:J33)</f>
        <v>0</v>
      </c>
      <c r="K29" s="543">
        <f t="shared" si="0"/>
        <v>0</v>
      </c>
      <c r="L29" s="549" t="str">
        <f t="shared" si="1"/>
        <v xml:space="preserve">-    </v>
      </c>
      <c r="M29" s="544"/>
      <c r="Q29" s="554"/>
      <c r="R29" s="554"/>
      <c r="S29" s="554"/>
      <c r="T29" s="554"/>
    </row>
    <row r="30" spans="1:20" s="550" customFormat="1" ht="11.25">
      <c r="A30" s="530"/>
      <c r="B30" s="532"/>
      <c r="C30" s="532"/>
      <c r="D30" s="560" t="s">
        <v>3843</v>
      </c>
      <c r="E30" s="557" t="s">
        <v>2780</v>
      </c>
      <c r="F30" s="546"/>
      <c r="G30" s="570"/>
      <c r="H30" s="570"/>
      <c r="I30" s="553">
        <f>+ROUND('11. SP Min'!D73,0)</f>
        <v>0</v>
      </c>
      <c r="J30" s="553">
        <f>+ROUND('11. SP Min'!E73,0)</f>
        <v>0</v>
      </c>
      <c r="K30" s="543">
        <f t="shared" si="0"/>
        <v>0</v>
      </c>
      <c r="L30" s="549" t="str">
        <f t="shared" si="1"/>
        <v xml:space="preserve">-    </v>
      </c>
      <c r="M30" s="544"/>
      <c r="Q30" s="554"/>
      <c r="R30" s="554"/>
      <c r="S30" s="554"/>
      <c r="T30" s="554"/>
    </row>
    <row r="31" spans="1:20" s="550" customFormat="1" ht="11.25">
      <c r="A31" s="530"/>
      <c r="B31" s="532"/>
      <c r="C31" s="532"/>
      <c r="D31" s="560" t="s">
        <v>3844</v>
      </c>
      <c r="E31" s="557" t="s">
        <v>2784</v>
      </c>
      <c r="F31" s="557"/>
      <c r="G31" s="570"/>
      <c r="H31" s="570"/>
      <c r="I31" s="553">
        <f>+ROUND('11. SP Min'!D74,0)</f>
        <v>0</v>
      </c>
      <c r="J31" s="553">
        <f>+ROUND('11. SP Min'!E74,0)</f>
        <v>0</v>
      </c>
      <c r="K31" s="543">
        <f t="shared" si="0"/>
        <v>0</v>
      </c>
      <c r="L31" s="549" t="str">
        <f t="shared" si="1"/>
        <v xml:space="preserve">-    </v>
      </c>
      <c r="M31" s="544"/>
      <c r="Q31" s="554"/>
      <c r="R31" s="554"/>
      <c r="S31" s="554"/>
      <c r="T31" s="554"/>
    </row>
    <row r="32" spans="1:20" s="550" customFormat="1" ht="11.25">
      <c r="A32" s="530"/>
      <c r="B32" s="532"/>
      <c r="C32" s="545"/>
      <c r="D32" s="560" t="s">
        <v>3855</v>
      </c>
      <c r="E32" s="571" t="s">
        <v>2788</v>
      </c>
      <c r="F32" s="546"/>
      <c r="G32" s="570"/>
      <c r="H32" s="570"/>
      <c r="I32" s="553">
        <f>+ROUND('11. SP Min'!D75,0)</f>
        <v>0</v>
      </c>
      <c r="J32" s="553">
        <f>+ROUND('11. SP Min'!E75,0)</f>
        <v>0</v>
      </c>
      <c r="K32" s="543">
        <f t="shared" si="0"/>
        <v>0</v>
      </c>
      <c r="L32" s="549" t="str">
        <f t="shared" si="1"/>
        <v xml:space="preserve">-    </v>
      </c>
      <c r="M32" s="544"/>
      <c r="Q32" s="554"/>
      <c r="R32" s="554"/>
      <c r="S32" s="554"/>
      <c r="T32" s="554"/>
    </row>
    <row r="33" spans="1:20" s="550" customFormat="1" ht="11.25">
      <c r="A33" s="530"/>
      <c r="B33" s="532"/>
      <c r="C33" s="545"/>
      <c r="D33" s="560" t="s">
        <v>3856</v>
      </c>
      <c r="E33" s="571" t="s">
        <v>3857</v>
      </c>
      <c r="F33" s="569"/>
      <c r="G33" s="570"/>
      <c r="H33" s="572"/>
      <c r="I33" s="553">
        <f>+ROUND('11. SP Min'!D76,0)</f>
        <v>0</v>
      </c>
      <c r="J33" s="553">
        <f>+ROUND('11. SP Min'!E76,0)</f>
        <v>0</v>
      </c>
      <c r="K33" s="543">
        <f t="shared" si="0"/>
        <v>0</v>
      </c>
      <c r="L33" s="549" t="str">
        <f t="shared" si="1"/>
        <v xml:space="preserve">-    </v>
      </c>
      <c r="M33" s="544"/>
      <c r="Q33" s="554"/>
      <c r="R33" s="554"/>
      <c r="S33" s="554"/>
      <c r="T33" s="554"/>
    </row>
    <row r="34" spans="1:20" s="550" customFormat="1" ht="11.25">
      <c r="A34" s="530"/>
      <c r="B34" s="532"/>
      <c r="C34" s="545" t="s">
        <v>88</v>
      </c>
      <c r="D34" s="157" t="s">
        <v>3858</v>
      </c>
      <c r="E34" s="545"/>
      <c r="F34" s="569"/>
      <c r="G34" s="573"/>
      <c r="H34" s="547"/>
      <c r="I34" s="553">
        <f>SUM(I35:I36)</f>
        <v>0</v>
      </c>
      <c r="J34" s="553">
        <f>SUM(J35:J36)</f>
        <v>0</v>
      </c>
      <c r="K34" s="543">
        <f t="shared" si="0"/>
        <v>0</v>
      </c>
      <c r="L34" s="549" t="str">
        <f t="shared" si="1"/>
        <v xml:space="preserve">-    </v>
      </c>
      <c r="M34" s="544"/>
      <c r="Q34" s="554"/>
      <c r="R34" s="554"/>
      <c r="S34" s="554"/>
      <c r="T34" s="554"/>
    </row>
    <row r="35" spans="1:20" s="550" customFormat="1" ht="11.25">
      <c r="A35" s="530"/>
      <c r="B35" s="532"/>
      <c r="C35" s="545"/>
      <c r="D35" s="560" t="s">
        <v>3843</v>
      </c>
      <c r="E35" s="561" t="s">
        <v>2800</v>
      </c>
      <c r="F35" s="552"/>
      <c r="G35" s="547"/>
      <c r="H35" s="547"/>
      <c r="I35" s="553">
        <f>+ROUND('11. SP Min'!D78,0)</f>
        <v>0</v>
      </c>
      <c r="J35" s="553">
        <f>+ROUND('11. SP Min'!E78,0)</f>
        <v>0</v>
      </c>
      <c r="K35" s="543">
        <f t="shared" si="0"/>
        <v>0</v>
      </c>
      <c r="L35" s="549" t="str">
        <f t="shared" si="1"/>
        <v xml:space="preserve">-    </v>
      </c>
      <c r="M35" s="544"/>
      <c r="Q35" s="554"/>
      <c r="R35" s="554"/>
      <c r="S35" s="554"/>
      <c r="T35" s="554"/>
    </row>
    <row r="36" spans="1:20" s="550" customFormat="1" ht="11.25">
      <c r="A36" s="530"/>
      <c r="B36" s="532"/>
      <c r="C36" s="545"/>
      <c r="D36" s="560" t="s">
        <v>3844</v>
      </c>
      <c r="E36" s="561" t="s">
        <v>3859</v>
      </c>
      <c r="F36" s="151"/>
      <c r="G36" s="574"/>
      <c r="H36" s="547"/>
      <c r="I36" s="572">
        <f>+ROUND('11. SP Min'!D79,0)</f>
        <v>0</v>
      </c>
      <c r="J36" s="572">
        <f>+ROUND('11. SP Min'!E79,0)</f>
        <v>0</v>
      </c>
      <c r="K36" s="543">
        <f t="shared" si="0"/>
        <v>0</v>
      </c>
      <c r="L36" s="549" t="str">
        <f t="shared" si="1"/>
        <v xml:space="preserve">-    </v>
      </c>
      <c r="M36" s="544"/>
      <c r="Q36" s="554"/>
      <c r="R36" s="554"/>
      <c r="S36" s="554"/>
      <c r="T36" s="554"/>
    </row>
    <row r="37" spans="1:20" s="539" customFormat="1" ht="11.25">
      <c r="A37" s="734" t="s">
        <v>3860</v>
      </c>
      <c r="B37" s="735"/>
      <c r="C37" s="735"/>
      <c r="D37" s="735"/>
      <c r="E37" s="735"/>
      <c r="F37" s="735"/>
      <c r="G37" s="736"/>
      <c r="H37" s="735"/>
      <c r="I37" s="575">
        <f>I7+I13+I28</f>
        <v>421699</v>
      </c>
      <c r="J37" s="576">
        <f>J7+J13+J28</f>
        <v>501986</v>
      </c>
      <c r="K37" s="577">
        <f t="shared" si="0"/>
        <v>-80287</v>
      </c>
      <c r="L37" s="133">
        <f>IF(J37=0,"-    ",K37/J37)</f>
        <v>-0.15993872339069218</v>
      </c>
      <c r="M37" s="544"/>
      <c r="Q37" s="556"/>
      <c r="R37" s="556"/>
      <c r="S37" s="556"/>
      <c r="T37" s="556"/>
    </row>
    <row r="38" spans="1:20" s="539" customFormat="1" ht="11.25">
      <c r="A38" s="530"/>
      <c r="B38" s="532"/>
      <c r="C38" s="532"/>
      <c r="D38" s="532"/>
      <c r="E38" s="532"/>
      <c r="F38" s="541"/>
      <c r="G38" s="534"/>
      <c r="H38" s="534"/>
      <c r="I38" s="578"/>
      <c r="J38" s="578"/>
      <c r="K38" s="579"/>
      <c r="L38" s="580"/>
      <c r="M38" s="544"/>
      <c r="Q38" s="556"/>
      <c r="R38" s="556"/>
      <c r="S38" s="556"/>
      <c r="T38" s="556"/>
    </row>
    <row r="39" spans="1:20" s="539" customFormat="1" ht="11.25">
      <c r="A39" s="581" t="s">
        <v>33</v>
      </c>
      <c r="B39" s="582" t="s">
        <v>3861</v>
      </c>
      <c r="C39" s="583"/>
      <c r="D39" s="583"/>
      <c r="E39" s="583"/>
      <c r="F39" s="533"/>
      <c r="G39" s="534"/>
      <c r="H39" s="534"/>
      <c r="I39" s="542"/>
      <c r="J39" s="536"/>
      <c r="K39" s="537"/>
      <c r="L39" s="538"/>
      <c r="M39" s="544"/>
      <c r="Q39" s="556"/>
      <c r="R39" s="556"/>
      <c r="S39" s="556"/>
      <c r="T39" s="556"/>
    </row>
    <row r="40" spans="1:20" s="539" customFormat="1" ht="11.25">
      <c r="A40" s="581"/>
      <c r="B40" s="583" t="s">
        <v>3833</v>
      </c>
      <c r="C40" s="584" t="s">
        <v>3862</v>
      </c>
      <c r="D40" s="583"/>
      <c r="E40" s="583"/>
      <c r="F40" s="541"/>
      <c r="G40" s="534"/>
      <c r="H40" s="534"/>
      <c r="I40" s="542">
        <f>SUM(I41:I44)</f>
        <v>65966511</v>
      </c>
      <c r="J40" s="542">
        <f>SUM(J41:J44)</f>
        <v>53597091</v>
      </c>
      <c r="K40" s="543">
        <f>+I40-J40</f>
        <v>12369420</v>
      </c>
      <c r="L40" s="538">
        <f t="shared" ref="L40:L98" si="4">IF(J40=0,"-    ",K40/J40)</f>
        <v>0.23078528646265523</v>
      </c>
      <c r="M40" s="544"/>
      <c r="Q40" s="556"/>
      <c r="R40" s="556"/>
      <c r="S40" s="556"/>
      <c r="T40" s="556"/>
    </row>
    <row r="41" spans="1:20" s="550" customFormat="1" ht="11.25">
      <c r="A41" s="581"/>
      <c r="B41" s="583"/>
      <c r="C41" s="585" t="s">
        <v>86</v>
      </c>
      <c r="D41" s="585" t="s">
        <v>3863</v>
      </c>
      <c r="E41" s="583"/>
      <c r="F41" s="552"/>
      <c r="G41" s="547"/>
      <c r="H41" s="547"/>
      <c r="I41" s="553">
        <f>+ROUND('11. SP Min'!D86-'11. SP Min'!D95,0)</f>
        <v>64595308</v>
      </c>
      <c r="J41" s="553">
        <f>+ROUND('11. SP Min'!E86-'11. SP Min'!E95,0)</f>
        <v>51819777</v>
      </c>
      <c r="K41" s="543">
        <f t="shared" ref="K41:K90" si="5">+I41-J41</f>
        <v>12775531</v>
      </c>
      <c r="L41" s="549">
        <f t="shared" si="4"/>
        <v>0.24653774561785552</v>
      </c>
      <c r="M41" s="544"/>
      <c r="Q41" s="554"/>
      <c r="R41" s="554"/>
      <c r="S41" s="554"/>
      <c r="T41" s="554"/>
    </row>
    <row r="42" spans="1:20" s="550" customFormat="1" ht="11.25">
      <c r="A42" s="581"/>
      <c r="B42" s="583"/>
      <c r="C42" s="585" t="s">
        <v>88</v>
      </c>
      <c r="D42" s="585" t="s">
        <v>3864</v>
      </c>
      <c r="E42" s="583"/>
      <c r="F42" s="151"/>
      <c r="G42" s="547"/>
      <c r="H42" s="547"/>
      <c r="I42" s="553">
        <f>+ROUND('11. SP Min'!D96-'11. SP Min'!D103,0)</f>
        <v>1371203</v>
      </c>
      <c r="J42" s="553">
        <f>+ROUND('11. SP Min'!E96-'11. SP Min'!E103,0)</f>
        <v>1777314</v>
      </c>
      <c r="K42" s="543">
        <f t="shared" si="5"/>
        <v>-406111</v>
      </c>
      <c r="L42" s="549">
        <f t="shared" si="4"/>
        <v>-0.22849704666704926</v>
      </c>
      <c r="M42" s="544"/>
      <c r="Q42" s="554"/>
      <c r="R42" s="554"/>
      <c r="S42" s="554"/>
      <c r="T42" s="554"/>
    </row>
    <row r="43" spans="1:20" s="550" customFormat="1" ht="11.25">
      <c r="A43" s="581"/>
      <c r="B43" s="583"/>
      <c r="C43" s="585" t="s">
        <v>116</v>
      </c>
      <c r="D43" s="585" t="s">
        <v>3865</v>
      </c>
      <c r="E43" s="583"/>
      <c r="F43" s="586"/>
      <c r="G43" s="547"/>
      <c r="H43" s="547"/>
      <c r="I43" s="553">
        <f>+ROUND('11. SP Min'!D95,0)</f>
        <v>0</v>
      </c>
      <c r="J43" s="553">
        <f>+ROUND('11. SP Min'!E95,0)</f>
        <v>0</v>
      </c>
      <c r="K43" s="543">
        <f t="shared" si="5"/>
        <v>0</v>
      </c>
      <c r="L43" s="549" t="str">
        <f t="shared" si="4"/>
        <v xml:space="preserve">-    </v>
      </c>
      <c r="M43" s="544"/>
      <c r="Q43" s="554"/>
      <c r="R43" s="554"/>
      <c r="S43" s="554"/>
      <c r="T43" s="554"/>
    </row>
    <row r="44" spans="1:20" s="550" customFormat="1" ht="11.25">
      <c r="A44" s="581"/>
      <c r="B44" s="583"/>
      <c r="C44" s="585" t="s">
        <v>3838</v>
      </c>
      <c r="D44" s="585" t="s">
        <v>3866</v>
      </c>
      <c r="E44" s="583"/>
      <c r="F44" s="151"/>
      <c r="G44" s="547"/>
      <c r="H44" s="547"/>
      <c r="I44" s="553">
        <f>+ROUND('11. SP Min'!D103,0)</f>
        <v>0</v>
      </c>
      <c r="J44" s="553">
        <f>+ROUND('11. SP Min'!E103,0)</f>
        <v>0</v>
      </c>
      <c r="K44" s="543">
        <f t="shared" si="5"/>
        <v>0</v>
      </c>
      <c r="L44" s="549" t="str">
        <f t="shared" si="4"/>
        <v xml:space="preserve">-    </v>
      </c>
      <c r="M44" s="544"/>
      <c r="Q44" s="554"/>
      <c r="R44" s="554"/>
      <c r="S44" s="554"/>
      <c r="T44" s="554"/>
    </row>
    <row r="45" spans="1:20" s="550" customFormat="1" ht="11.25">
      <c r="A45" s="581"/>
      <c r="B45" s="583"/>
      <c r="C45" s="583"/>
      <c r="D45" s="583"/>
      <c r="E45" s="583"/>
      <c r="F45" s="151"/>
      <c r="G45" s="568" t="s">
        <v>3850</v>
      </c>
      <c r="H45" s="568" t="s">
        <v>3851</v>
      </c>
      <c r="I45" s="553"/>
      <c r="J45" s="553"/>
      <c r="K45" s="543">
        <f t="shared" si="5"/>
        <v>0</v>
      </c>
      <c r="L45" s="549" t="str">
        <f t="shared" si="4"/>
        <v xml:space="preserve">-    </v>
      </c>
      <c r="M45" s="544"/>
      <c r="Q45" s="554"/>
      <c r="R45" s="554"/>
      <c r="S45" s="554"/>
      <c r="T45" s="554"/>
    </row>
    <row r="46" spans="1:20" s="539" customFormat="1" ht="25.5" customHeight="1">
      <c r="A46" s="540"/>
      <c r="B46" s="532" t="s">
        <v>3840</v>
      </c>
      <c r="C46" s="732" t="s">
        <v>3867</v>
      </c>
      <c r="D46" s="732"/>
      <c r="E46" s="732"/>
      <c r="F46" s="733"/>
      <c r="G46" s="542">
        <f>G47+G58+G71+G72+G75+G76+G77</f>
        <v>0</v>
      </c>
      <c r="H46" s="542">
        <f>H47+H58+H71+H72+H75+H76+H77</f>
        <v>0</v>
      </c>
      <c r="I46" s="542">
        <f>I47+I58+I71+I72+I75+I76+I77</f>
        <v>148663910</v>
      </c>
      <c r="J46" s="542">
        <f>J47+J58+J71+J72+J75+J76+J77</f>
        <v>51603328</v>
      </c>
      <c r="K46" s="543">
        <f t="shared" si="5"/>
        <v>97060582</v>
      </c>
      <c r="L46" s="538">
        <f t="shared" si="4"/>
        <v>1.8808977203950876</v>
      </c>
      <c r="M46" s="544"/>
      <c r="Q46" s="556"/>
      <c r="R46" s="556"/>
      <c r="S46" s="556"/>
      <c r="T46" s="556"/>
    </row>
    <row r="47" spans="1:20" s="550" customFormat="1" ht="11.25">
      <c r="A47" s="551"/>
      <c r="B47" s="583"/>
      <c r="C47" s="585" t="s">
        <v>86</v>
      </c>
      <c r="D47" s="585" t="s">
        <v>3868</v>
      </c>
      <c r="E47" s="583"/>
      <c r="F47" s="587"/>
      <c r="G47" s="588"/>
      <c r="H47" s="588"/>
      <c r="I47" s="553">
        <f>I48+I51+I52+I57</f>
        <v>0</v>
      </c>
      <c r="J47" s="553">
        <f>J48+J51+J52+J57</f>
        <v>0</v>
      </c>
      <c r="K47" s="543">
        <f t="shared" si="5"/>
        <v>0</v>
      </c>
      <c r="L47" s="549" t="str">
        <f t="shared" si="4"/>
        <v xml:space="preserve">-    </v>
      </c>
      <c r="M47" s="544"/>
      <c r="Q47" s="554"/>
      <c r="R47" s="554"/>
      <c r="S47" s="554"/>
      <c r="T47" s="554"/>
    </row>
    <row r="48" spans="1:20" s="550" customFormat="1" ht="11.25">
      <c r="A48" s="551"/>
      <c r="B48" s="583"/>
      <c r="C48" s="585"/>
      <c r="D48" s="589" t="s">
        <v>3843</v>
      </c>
      <c r="E48" s="589" t="s">
        <v>3869</v>
      </c>
      <c r="F48" s="587"/>
      <c r="G48" s="588"/>
      <c r="H48" s="590"/>
      <c r="I48" s="553">
        <f>I49+I50</f>
        <v>0</v>
      </c>
      <c r="J48" s="553">
        <f>J49+J50</f>
        <v>0</v>
      </c>
      <c r="K48" s="543">
        <f>+I48-J48</f>
        <v>0</v>
      </c>
      <c r="L48" s="549" t="str">
        <f t="shared" si="4"/>
        <v xml:space="preserve">-    </v>
      </c>
      <c r="M48" s="544"/>
      <c r="Q48" s="554"/>
      <c r="R48" s="554"/>
      <c r="S48" s="554"/>
      <c r="T48" s="554"/>
    </row>
    <row r="49" spans="1:20" s="550" customFormat="1" ht="11.25">
      <c r="A49" s="551"/>
      <c r="B49" s="583"/>
      <c r="C49" s="585"/>
      <c r="D49" s="585"/>
      <c r="E49" s="585" t="s">
        <v>86</v>
      </c>
      <c r="F49" s="587" t="s">
        <v>3870</v>
      </c>
      <c r="G49" s="588"/>
      <c r="H49" s="590"/>
      <c r="I49" s="553">
        <f>+ROUND('11. SP Min'!D106+'11. SP Min'!D107+'11. SP Min'!D108+'11. SP Min'!D109+'11. SP Min'!D110+'11. SP Min'!D111+'11. SP Min'!D113,0)</f>
        <v>0</v>
      </c>
      <c r="J49" s="553">
        <f>+ROUND('11. SP Min'!E106+'11. SP Min'!E107+'11. SP Min'!E108+'11. SP Min'!E109+'11. SP Min'!E110+'11. SP Min'!E111+'11. SP Min'!E113,0)</f>
        <v>0</v>
      </c>
      <c r="K49" s="543">
        <f t="shared" si="5"/>
        <v>0</v>
      </c>
      <c r="L49" s="549" t="str">
        <f t="shared" si="4"/>
        <v xml:space="preserve">-    </v>
      </c>
      <c r="M49" s="544"/>
      <c r="Q49" s="554"/>
      <c r="R49" s="554"/>
      <c r="S49" s="554"/>
      <c r="T49" s="554"/>
    </row>
    <row r="50" spans="1:20" s="550" customFormat="1" ht="11.25">
      <c r="A50" s="551"/>
      <c r="B50" s="583"/>
      <c r="C50" s="585"/>
      <c r="D50" s="585"/>
      <c r="E50" s="585" t="s">
        <v>88</v>
      </c>
      <c r="F50" s="587" t="s">
        <v>3871</v>
      </c>
      <c r="G50" s="588"/>
      <c r="H50" s="590"/>
      <c r="I50" s="553">
        <f>+ROUND('11. SP Min'!D112,0)</f>
        <v>0</v>
      </c>
      <c r="J50" s="553">
        <f>+ROUND('11. SP Min'!E112,0)</f>
        <v>0</v>
      </c>
      <c r="K50" s="543">
        <f t="shared" si="5"/>
        <v>0</v>
      </c>
      <c r="L50" s="549" t="str">
        <f t="shared" si="4"/>
        <v xml:space="preserve">-    </v>
      </c>
      <c r="M50" s="544"/>
      <c r="Q50" s="554"/>
      <c r="R50" s="554"/>
      <c r="S50" s="554"/>
      <c r="T50" s="554"/>
    </row>
    <row r="51" spans="1:20" s="550" customFormat="1" ht="11.25">
      <c r="A51" s="551"/>
      <c r="B51" s="583"/>
      <c r="C51" s="585"/>
      <c r="D51" s="589" t="s">
        <v>3844</v>
      </c>
      <c r="E51" s="589" t="s">
        <v>3872</v>
      </c>
      <c r="F51" s="587"/>
      <c r="G51" s="588"/>
      <c r="H51" s="590"/>
      <c r="I51" s="553">
        <f>+ROUND('11. SP Min'!D114,0)</f>
        <v>0</v>
      </c>
      <c r="J51" s="553">
        <f>+ROUND('11. SP Min'!E114,0)</f>
        <v>0</v>
      </c>
      <c r="K51" s="543">
        <f t="shared" si="5"/>
        <v>0</v>
      </c>
      <c r="L51" s="549" t="str">
        <f t="shared" si="4"/>
        <v xml:space="preserve">-    </v>
      </c>
      <c r="M51" s="544"/>
      <c r="Q51" s="554"/>
      <c r="R51" s="554"/>
      <c r="S51" s="554"/>
      <c r="T51" s="554"/>
    </row>
    <row r="52" spans="1:20" s="550" customFormat="1" ht="11.25">
      <c r="A52" s="551"/>
      <c r="B52" s="583"/>
      <c r="C52" s="585"/>
      <c r="D52" s="589" t="s">
        <v>3855</v>
      </c>
      <c r="E52" s="589" t="s">
        <v>3873</v>
      </c>
      <c r="F52" s="587"/>
      <c r="G52" s="588"/>
      <c r="H52" s="590"/>
      <c r="I52" s="553">
        <f>I53+I54+I55+I56</f>
        <v>0</v>
      </c>
      <c r="J52" s="553">
        <f>J53+J54+J55+J56</f>
        <v>0</v>
      </c>
      <c r="K52" s="543">
        <f t="shared" si="5"/>
        <v>0</v>
      </c>
      <c r="L52" s="549" t="str">
        <f t="shared" si="4"/>
        <v xml:space="preserve">-    </v>
      </c>
      <c r="M52" s="544"/>
      <c r="Q52" s="554"/>
      <c r="R52" s="554"/>
      <c r="S52" s="554"/>
      <c r="T52" s="554"/>
    </row>
    <row r="53" spans="1:20" s="550" customFormat="1" ht="11.25">
      <c r="A53" s="551"/>
      <c r="B53" s="583"/>
      <c r="C53" s="585"/>
      <c r="D53" s="585"/>
      <c r="E53" s="585" t="s">
        <v>86</v>
      </c>
      <c r="F53" s="587" t="s">
        <v>3874</v>
      </c>
      <c r="G53" s="588"/>
      <c r="H53" s="590"/>
      <c r="I53" s="553">
        <f>+ROUND('11. SP Min'!D116,0)</f>
        <v>0</v>
      </c>
      <c r="J53" s="553">
        <f>+ROUND('11. SP Min'!E116,0)</f>
        <v>0</v>
      </c>
      <c r="K53" s="543">
        <f t="shared" si="5"/>
        <v>0</v>
      </c>
      <c r="L53" s="549" t="str">
        <f t="shared" si="4"/>
        <v xml:space="preserve">-    </v>
      </c>
      <c r="M53" s="544"/>
      <c r="Q53" s="554"/>
      <c r="R53" s="554"/>
      <c r="S53" s="554"/>
      <c r="T53" s="554"/>
    </row>
    <row r="54" spans="1:20" s="550" customFormat="1" ht="11.25">
      <c r="A54" s="551"/>
      <c r="B54" s="583"/>
      <c r="C54" s="585"/>
      <c r="D54" s="585"/>
      <c r="E54" s="585" t="s">
        <v>88</v>
      </c>
      <c r="F54" s="587" t="s">
        <v>3875</v>
      </c>
      <c r="G54" s="588"/>
      <c r="H54" s="590"/>
      <c r="I54" s="553">
        <f>+ROUND('11. SP Min'!D117,0)</f>
        <v>0</v>
      </c>
      <c r="J54" s="553">
        <f>+ROUND('11. SP Min'!E117,0)</f>
        <v>0</v>
      </c>
      <c r="K54" s="543">
        <f t="shared" si="5"/>
        <v>0</v>
      </c>
      <c r="L54" s="549" t="str">
        <f t="shared" si="4"/>
        <v xml:space="preserve">-    </v>
      </c>
      <c r="M54" s="544"/>
      <c r="Q54" s="554"/>
      <c r="R54" s="554"/>
      <c r="S54" s="554"/>
      <c r="T54" s="554"/>
    </row>
    <row r="55" spans="1:20" s="550" customFormat="1" ht="11.25">
      <c r="A55" s="551"/>
      <c r="B55" s="583"/>
      <c r="C55" s="585"/>
      <c r="D55" s="585"/>
      <c r="E55" s="585" t="s">
        <v>116</v>
      </c>
      <c r="F55" s="587" t="s">
        <v>3876</v>
      </c>
      <c r="G55" s="588"/>
      <c r="H55" s="590"/>
      <c r="I55" s="553">
        <f>+ROUND('11. SP Min'!D118,0)</f>
        <v>0</v>
      </c>
      <c r="J55" s="553">
        <f>+ROUND('11. SP Min'!E118,0)</f>
        <v>0</v>
      </c>
      <c r="K55" s="543">
        <f t="shared" si="5"/>
        <v>0</v>
      </c>
      <c r="L55" s="549" t="str">
        <f t="shared" si="4"/>
        <v xml:space="preserve">-    </v>
      </c>
      <c r="M55" s="544"/>
      <c r="Q55" s="554"/>
      <c r="R55" s="554"/>
      <c r="S55" s="554"/>
      <c r="T55" s="554"/>
    </row>
    <row r="56" spans="1:20" s="550" customFormat="1" ht="11.25">
      <c r="A56" s="551"/>
      <c r="B56" s="583"/>
      <c r="C56" s="585"/>
      <c r="D56" s="585"/>
      <c r="E56" s="585" t="s">
        <v>3838</v>
      </c>
      <c r="F56" s="587" t="s">
        <v>3877</v>
      </c>
      <c r="G56" s="588"/>
      <c r="H56" s="590"/>
      <c r="I56" s="553">
        <f>+ROUND('11. SP Min'!D119,0)</f>
        <v>0</v>
      </c>
      <c r="J56" s="553">
        <f>+ROUND('11. SP Min'!E119,0)</f>
        <v>0</v>
      </c>
      <c r="K56" s="543">
        <f t="shared" si="5"/>
        <v>0</v>
      </c>
      <c r="L56" s="549" t="str">
        <f t="shared" si="4"/>
        <v xml:space="preserve">-    </v>
      </c>
      <c r="M56" s="544"/>
      <c r="Q56" s="554"/>
      <c r="R56" s="554"/>
      <c r="S56" s="554"/>
      <c r="T56" s="554"/>
    </row>
    <row r="57" spans="1:20" s="550" customFormat="1" ht="11.25">
      <c r="A57" s="551"/>
      <c r="B57" s="585"/>
      <c r="C57" s="585"/>
      <c r="D57" s="589" t="s">
        <v>3856</v>
      </c>
      <c r="E57" s="589" t="s">
        <v>3878</v>
      </c>
      <c r="F57" s="591"/>
      <c r="G57" s="588"/>
      <c r="H57" s="590"/>
      <c r="I57" s="553">
        <f>+ROUND('11. SP Min'!D120,0)</f>
        <v>0</v>
      </c>
      <c r="J57" s="553">
        <f>+ROUND('11. SP Min'!E120,0)</f>
        <v>0</v>
      </c>
      <c r="K57" s="543">
        <f t="shared" si="5"/>
        <v>0</v>
      </c>
      <c r="L57" s="549" t="str">
        <f t="shared" si="4"/>
        <v xml:space="preserve">-    </v>
      </c>
      <c r="M57" s="544"/>
      <c r="Q57" s="554"/>
      <c r="R57" s="554"/>
      <c r="S57" s="554"/>
      <c r="T57" s="554"/>
    </row>
    <row r="58" spans="1:20" s="550" customFormat="1" ht="11.25">
      <c r="A58" s="551"/>
      <c r="B58" s="585"/>
      <c r="C58" s="585" t="s">
        <v>88</v>
      </c>
      <c r="D58" s="585" t="s">
        <v>3879</v>
      </c>
      <c r="E58" s="585"/>
      <c r="F58" s="587"/>
      <c r="G58" s="588"/>
      <c r="H58" s="588"/>
      <c r="I58" s="553">
        <f>I59+I66</f>
        <v>3952690</v>
      </c>
      <c r="J58" s="553">
        <f>J59+J66</f>
        <v>2046376</v>
      </c>
      <c r="K58" s="543">
        <f t="shared" si="5"/>
        <v>1906314</v>
      </c>
      <c r="L58" s="549">
        <f t="shared" si="4"/>
        <v>0.9315560776709656</v>
      </c>
      <c r="M58" s="544"/>
      <c r="Q58" s="554"/>
      <c r="R58" s="554"/>
      <c r="S58" s="554"/>
      <c r="T58" s="554"/>
    </row>
    <row r="59" spans="1:20" s="550" customFormat="1" ht="11.25">
      <c r="A59" s="551"/>
      <c r="B59" s="585"/>
      <c r="C59" s="585"/>
      <c r="D59" s="589" t="s">
        <v>3843</v>
      </c>
      <c r="E59" s="589" t="s">
        <v>3880</v>
      </c>
      <c r="F59" s="591"/>
      <c r="G59" s="588"/>
      <c r="H59" s="588"/>
      <c r="I59" s="553">
        <f>I60+I65</f>
        <v>3229778</v>
      </c>
      <c r="J59" s="553">
        <f>J60+J65</f>
        <v>1323464</v>
      </c>
      <c r="K59" s="543">
        <f t="shared" si="5"/>
        <v>1906314</v>
      </c>
      <c r="L59" s="549">
        <f t="shared" si="4"/>
        <v>1.4403973209698187</v>
      </c>
      <c r="M59" s="544"/>
      <c r="Q59" s="554"/>
      <c r="R59" s="554"/>
      <c r="S59" s="554"/>
      <c r="T59" s="554"/>
    </row>
    <row r="60" spans="1:20" s="550" customFormat="1" ht="11.25">
      <c r="A60" s="551"/>
      <c r="B60" s="585"/>
      <c r="C60" s="585"/>
      <c r="D60" s="585"/>
      <c r="E60" s="585" t="s">
        <v>86</v>
      </c>
      <c r="F60" s="591" t="s">
        <v>3881</v>
      </c>
      <c r="G60" s="588"/>
      <c r="H60" s="588"/>
      <c r="I60" s="553">
        <f>I61+I62+I63+I64</f>
        <v>2547087</v>
      </c>
      <c r="J60" s="553">
        <f>J61+J62+J63+J64</f>
        <v>686920</v>
      </c>
      <c r="K60" s="543">
        <f t="shared" si="5"/>
        <v>1860167</v>
      </c>
      <c r="L60" s="549">
        <f t="shared" si="4"/>
        <v>2.7079820066383276</v>
      </c>
      <c r="M60" s="544"/>
      <c r="Q60" s="554"/>
      <c r="R60" s="554"/>
      <c r="S60" s="554"/>
      <c r="T60" s="554"/>
    </row>
    <row r="61" spans="1:20" s="550" customFormat="1" ht="22.5">
      <c r="A61" s="551"/>
      <c r="B61" s="585"/>
      <c r="C61" s="585"/>
      <c r="D61" s="585"/>
      <c r="E61" s="585"/>
      <c r="F61" s="592" t="s">
        <v>3882</v>
      </c>
      <c r="G61" s="588"/>
      <c r="H61" s="588"/>
      <c r="I61" s="553">
        <f>+ROUND('11. SP Min'!D123+'11. SP Min'!D124+'11. SP Min'!D125+'11. SP Min'!D126+'11. SP Min'!D130+'11. SP Min'!D132,0)</f>
        <v>0</v>
      </c>
      <c r="J61" s="553">
        <f>+ROUND('11. SP Min'!E123+'11. SP Min'!E124+'11. SP Min'!E125+'11. SP Min'!E126+'11. SP Min'!E130+'11. SP Min'!E132,0)</f>
        <v>0</v>
      </c>
      <c r="K61" s="543">
        <f t="shared" si="5"/>
        <v>0</v>
      </c>
      <c r="L61" s="549" t="str">
        <f t="shared" si="4"/>
        <v xml:space="preserve">-    </v>
      </c>
      <c r="M61" s="544"/>
      <c r="Q61" s="554"/>
      <c r="R61" s="554"/>
      <c r="S61" s="554"/>
      <c r="T61" s="554"/>
    </row>
    <row r="62" spans="1:20" s="550" customFormat="1" ht="22.5">
      <c r="A62" s="551"/>
      <c r="B62" s="585"/>
      <c r="C62" s="585"/>
      <c r="D62" s="585"/>
      <c r="E62" s="585"/>
      <c r="F62" s="592" t="s">
        <v>3883</v>
      </c>
      <c r="G62" s="588"/>
      <c r="H62" s="588"/>
      <c r="I62" s="553">
        <f>+ROUND('11. SP Min'!D127,0)</f>
        <v>0</v>
      </c>
      <c r="J62" s="553">
        <f>+ROUND('11. SP Min'!E127,0)</f>
        <v>0</v>
      </c>
      <c r="K62" s="543">
        <f t="shared" si="5"/>
        <v>0</v>
      </c>
      <c r="L62" s="549" t="str">
        <f t="shared" si="4"/>
        <v xml:space="preserve">-    </v>
      </c>
      <c r="M62" s="544"/>
      <c r="Q62" s="554"/>
      <c r="R62" s="554"/>
      <c r="S62" s="554"/>
      <c r="T62" s="554"/>
    </row>
    <row r="63" spans="1:20" s="550" customFormat="1" ht="22.5">
      <c r="A63" s="551"/>
      <c r="B63" s="585"/>
      <c r="C63" s="585"/>
      <c r="D63" s="585"/>
      <c r="E63" s="585"/>
      <c r="F63" s="592" t="s">
        <v>3884</v>
      </c>
      <c r="G63" s="588"/>
      <c r="H63" s="588"/>
      <c r="I63" s="553">
        <f>+ROUND('11. SP Min'!D128,0)</f>
        <v>0</v>
      </c>
      <c r="J63" s="553">
        <f>+ROUND('11. SP Min'!E128,0)</f>
        <v>0</v>
      </c>
      <c r="K63" s="543">
        <f t="shared" si="5"/>
        <v>0</v>
      </c>
      <c r="L63" s="549" t="str">
        <f t="shared" si="4"/>
        <v xml:space="preserve">-    </v>
      </c>
      <c r="M63" s="544"/>
      <c r="Q63" s="554"/>
      <c r="R63" s="554"/>
      <c r="S63" s="554"/>
      <c r="T63" s="554"/>
    </row>
    <row r="64" spans="1:20" s="550" customFormat="1" ht="22.5">
      <c r="A64" s="551"/>
      <c r="B64" s="585"/>
      <c r="C64" s="585"/>
      <c r="D64" s="585"/>
      <c r="E64" s="585"/>
      <c r="F64" s="592" t="s">
        <v>3885</v>
      </c>
      <c r="G64" s="588"/>
      <c r="H64" s="593"/>
      <c r="I64" s="553">
        <f>+ROUND('11. SP Min'!D129,0)</f>
        <v>2547087</v>
      </c>
      <c r="J64" s="553">
        <f>+ROUND('11. SP Min'!E129,0)</f>
        <v>686920</v>
      </c>
      <c r="K64" s="543">
        <f t="shared" si="5"/>
        <v>1860167</v>
      </c>
      <c r="L64" s="549">
        <f t="shared" si="4"/>
        <v>2.7079820066383276</v>
      </c>
      <c r="M64" s="544"/>
      <c r="Q64" s="554"/>
      <c r="R64" s="554"/>
      <c r="S64" s="554"/>
      <c r="T64" s="554"/>
    </row>
    <row r="65" spans="1:20" s="550" customFormat="1" ht="11.25">
      <c r="A65" s="551"/>
      <c r="B65" s="585"/>
      <c r="C65" s="585"/>
      <c r="D65" s="585"/>
      <c r="E65" s="585" t="s">
        <v>88</v>
      </c>
      <c r="F65" s="585" t="s">
        <v>3886</v>
      </c>
      <c r="G65" s="588"/>
      <c r="H65" s="593"/>
      <c r="I65" s="553">
        <f>+ROUND('11. SP Min'!D131,0)</f>
        <v>682691</v>
      </c>
      <c r="J65" s="553">
        <f>+ROUND('11. SP Min'!E131,0)</f>
        <v>636544</v>
      </c>
      <c r="K65" s="543">
        <f t="shared" si="5"/>
        <v>46147</v>
      </c>
      <c r="L65" s="549">
        <f t="shared" si="4"/>
        <v>7.2496166800723905E-2</v>
      </c>
      <c r="M65" s="544"/>
      <c r="Q65" s="554"/>
      <c r="R65" s="554"/>
      <c r="S65" s="554"/>
      <c r="T65" s="554"/>
    </row>
    <row r="66" spans="1:20" s="550" customFormat="1" ht="11.25">
      <c r="A66" s="551"/>
      <c r="B66" s="585"/>
      <c r="C66" s="585"/>
      <c r="D66" s="589" t="s">
        <v>3844</v>
      </c>
      <c r="E66" s="589" t="s">
        <v>3887</v>
      </c>
      <c r="F66" s="591"/>
      <c r="G66" s="588"/>
      <c r="H66" s="593"/>
      <c r="I66" s="553">
        <f>I67+I68+I69+I70</f>
        <v>722912</v>
      </c>
      <c r="J66" s="553">
        <f>J67+J68+J69+J70</f>
        <v>722912</v>
      </c>
      <c r="K66" s="543">
        <f t="shared" si="5"/>
        <v>0</v>
      </c>
      <c r="L66" s="549">
        <f t="shared" si="4"/>
        <v>0</v>
      </c>
      <c r="M66" s="544"/>
      <c r="Q66" s="554"/>
      <c r="R66" s="554"/>
      <c r="S66" s="554"/>
      <c r="T66" s="554"/>
    </row>
    <row r="67" spans="1:20" s="550" customFormat="1" ht="11.25">
      <c r="A67" s="551"/>
      <c r="B67" s="585"/>
      <c r="C67" s="585"/>
      <c r="D67" s="585"/>
      <c r="E67" s="585" t="s">
        <v>86</v>
      </c>
      <c r="F67" s="591" t="s">
        <v>3888</v>
      </c>
      <c r="G67" s="588"/>
      <c r="H67" s="593"/>
      <c r="I67" s="553">
        <f>+ROUND('11. SP Min'!D134,0)</f>
        <v>722912</v>
      </c>
      <c r="J67" s="553">
        <f>+ROUND('11. SP Min'!E134,0)</f>
        <v>722912</v>
      </c>
      <c r="K67" s="543">
        <f t="shared" si="5"/>
        <v>0</v>
      </c>
      <c r="L67" s="549">
        <f t="shared" si="4"/>
        <v>0</v>
      </c>
      <c r="M67" s="544"/>
      <c r="Q67" s="554"/>
      <c r="R67" s="554"/>
      <c r="S67" s="554"/>
      <c r="T67" s="554"/>
    </row>
    <row r="68" spans="1:20" s="550" customFormat="1" ht="11.25">
      <c r="A68" s="551"/>
      <c r="B68" s="585"/>
      <c r="C68" s="585"/>
      <c r="D68" s="585"/>
      <c r="E68" s="585" t="s">
        <v>88</v>
      </c>
      <c r="F68" s="591" t="s">
        <v>3889</v>
      </c>
      <c r="G68" s="588"/>
      <c r="H68" s="593"/>
      <c r="I68" s="553">
        <f>+ROUND('11. SP Min'!D135,0)</f>
        <v>0</v>
      </c>
      <c r="J68" s="553">
        <f>+ROUND('11. SP Min'!E135,0)</f>
        <v>0</v>
      </c>
      <c r="K68" s="543">
        <f t="shared" si="5"/>
        <v>0</v>
      </c>
      <c r="L68" s="549" t="str">
        <f t="shared" si="4"/>
        <v xml:space="preserve">-    </v>
      </c>
      <c r="M68" s="544"/>
      <c r="Q68" s="554"/>
      <c r="R68" s="554"/>
      <c r="S68" s="554"/>
      <c r="T68" s="554"/>
    </row>
    <row r="69" spans="1:20" s="550" customFormat="1" ht="11.25">
      <c r="A69" s="551"/>
      <c r="B69" s="585"/>
      <c r="C69" s="585"/>
      <c r="D69" s="585"/>
      <c r="E69" s="585" t="s">
        <v>116</v>
      </c>
      <c r="F69" s="591" t="s">
        <v>3004</v>
      </c>
      <c r="G69" s="588"/>
      <c r="H69" s="593"/>
      <c r="I69" s="553">
        <f>+ROUND('11. SP Min'!D136+'11. SP Min'!D137+'11. SP Min'!D140+'11. SP Min'!D141+'11. SP Min'!D138,0)</f>
        <v>0</v>
      </c>
      <c r="J69" s="553">
        <f>+ROUND('11. SP Min'!E136+'11. SP Min'!E137+'11. SP Min'!E140+'11. SP Min'!E141+'11. SP Min'!E138,0)</f>
        <v>0</v>
      </c>
      <c r="K69" s="543">
        <f t="shared" si="5"/>
        <v>0</v>
      </c>
      <c r="L69" s="549" t="str">
        <f t="shared" si="4"/>
        <v xml:space="preserve">-    </v>
      </c>
      <c r="M69" s="544"/>
      <c r="Q69" s="554"/>
      <c r="R69" s="554"/>
      <c r="S69" s="554"/>
      <c r="T69" s="554"/>
    </row>
    <row r="70" spans="1:20" s="550" customFormat="1" ht="22.5">
      <c r="A70" s="551"/>
      <c r="B70" s="583"/>
      <c r="C70" s="585"/>
      <c r="D70" s="583"/>
      <c r="E70" s="585" t="s">
        <v>3838</v>
      </c>
      <c r="F70" s="594" t="s">
        <v>3015</v>
      </c>
      <c r="G70" s="588"/>
      <c r="H70" s="588"/>
      <c r="I70" s="553">
        <f>+ROUND('11. SP Min'!D139,0)</f>
        <v>0</v>
      </c>
      <c r="J70" s="553">
        <f>+ROUND('11. SP Min'!E139,0)</f>
        <v>0</v>
      </c>
      <c r="K70" s="543">
        <f t="shared" si="5"/>
        <v>0</v>
      </c>
      <c r="L70" s="549" t="str">
        <f t="shared" si="4"/>
        <v xml:space="preserve">-    </v>
      </c>
      <c r="M70" s="544"/>
      <c r="Q70" s="554"/>
      <c r="R70" s="554"/>
      <c r="S70" s="554"/>
      <c r="T70" s="554"/>
    </row>
    <row r="71" spans="1:20" s="550" customFormat="1" ht="11.25">
      <c r="A71" s="551"/>
      <c r="B71" s="583"/>
      <c r="C71" s="585" t="s">
        <v>116</v>
      </c>
      <c r="D71" s="585" t="s">
        <v>3890</v>
      </c>
      <c r="E71" s="552"/>
      <c r="F71" s="591"/>
      <c r="G71" s="588"/>
      <c r="H71" s="588"/>
      <c r="I71" s="553">
        <f>+ROUND('11. SP Min'!D142,0)</f>
        <v>8241</v>
      </c>
      <c r="J71" s="553">
        <f>+ROUND('11. SP Min'!E142,0)</f>
        <v>7323</v>
      </c>
      <c r="K71" s="543">
        <f t="shared" si="5"/>
        <v>918</v>
      </c>
      <c r="L71" s="549">
        <f t="shared" si="4"/>
        <v>0.12535845964768538</v>
      </c>
      <c r="M71" s="544"/>
      <c r="Q71" s="554"/>
      <c r="R71" s="554"/>
      <c r="S71" s="554"/>
      <c r="T71" s="554"/>
    </row>
    <row r="72" spans="1:20" s="550" customFormat="1" ht="11.25">
      <c r="A72" s="551"/>
      <c r="B72" s="583"/>
      <c r="C72" s="585" t="s">
        <v>3838</v>
      </c>
      <c r="D72" s="585" t="s">
        <v>3891</v>
      </c>
      <c r="E72" s="585"/>
      <c r="F72" s="591"/>
      <c r="G72" s="588"/>
      <c r="H72" s="588"/>
      <c r="I72" s="553">
        <f>I73+I74</f>
        <v>144100637</v>
      </c>
      <c r="J72" s="553">
        <f>J73+J74</f>
        <v>48400262</v>
      </c>
      <c r="K72" s="543">
        <f t="shared" si="5"/>
        <v>95700375</v>
      </c>
      <c r="L72" s="549">
        <f t="shared" si="4"/>
        <v>1.9772697718041279</v>
      </c>
      <c r="M72" s="544"/>
      <c r="Q72" s="554"/>
      <c r="R72" s="554"/>
      <c r="S72" s="554"/>
      <c r="T72" s="554"/>
    </row>
    <row r="73" spans="1:20" s="550" customFormat="1" ht="11.25">
      <c r="A73" s="551"/>
      <c r="B73" s="583"/>
      <c r="C73" s="585"/>
      <c r="D73" s="589" t="s">
        <v>3843</v>
      </c>
      <c r="E73" s="589" t="s">
        <v>3892</v>
      </c>
      <c r="F73" s="591"/>
      <c r="G73" s="588"/>
      <c r="H73" s="588"/>
      <c r="I73" s="553">
        <f>+ROUND('11. SP Min'!D144+'11. SP Min'!D148+'11. SP Min'!D149+'11. SP Min'!D151,0)</f>
        <v>144044035</v>
      </c>
      <c r="J73" s="553">
        <f>+ROUND('11. SP Min'!E144+'11. SP Min'!E148+'11. SP Min'!E149+'11. SP Min'!E151,0)</f>
        <v>48242618</v>
      </c>
      <c r="K73" s="543">
        <f t="shared" si="5"/>
        <v>95801417</v>
      </c>
      <c r="L73" s="549">
        <f t="shared" si="4"/>
        <v>1.9858254168544502</v>
      </c>
      <c r="M73" s="544"/>
      <c r="Q73" s="554"/>
      <c r="R73" s="554"/>
      <c r="S73" s="554"/>
      <c r="T73" s="554"/>
    </row>
    <row r="74" spans="1:20" s="550" customFormat="1" ht="11.25">
      <c r="A74" s="551"/>
      <c r="B74" s="583"/>
      <c r="C74" s="585"/>
      <c r="D74" s="589" t="s">
        <v>3844</v>
      </c>
      <c r="E74" s="589" t="s">
        <v>3893</v>
      </c>
      <c r="F74" s="591"/>
      <c r="G74" s="588"/>
      <c r="H74" s="588"/>
      <c r="I74" s="553">
        <f>+ROUND('11. SP Min'!D150,0)</f>
        <v>56602</v>
      </c>
      <c r="J74" s="553">
        <f>+ROUND('11. SP Min'!E150,0)</f>
        <v>157644</v>
      </c>
      <c r="K74" s="543">
        <f t="shared" si="5"/>
        <v>-101042</v>
      </c>
      <c r="L74" s="549">
        <f t="shared" si="4"/>
        <v>-0.64095049605440102</v>
      </c>
      <c r="M74" s="544"/>
      <c r="Q74" s="554"/>
      <c r="R74" s="554"/>
      <c r="S74" s="554"/>
      <c r="T74" s="554"/>
    </row>
    <row r="75" spans="1:20" s="550" customFormat="1" ht="11.25">
      <c r="A75" s="551"/>
      <c r="B75" s="583"/>
      <c r="C75" s="585" t="s">
        <v>3839</v>
      </c>
      <c r="D75" s="585" t="s">
        <v>3894</v>
      </c>
      <c r="E75" s="585"/>
      <c r="F75" s="591"/>
      <c r="G75" s="588"/>
      <c r="H75" s="588"/>
      <c r="I75" s="553">
        <f>+ROUND('11. SP Min'!D152,0)</f>
        <v>0</v>
      </c>
      <c r="J75" s="553">
        <f>+ROUND('11. SP Min'!E152,0)</f>
        <v>0</v>
      </c>
      <c r="K75" s="543">
        <f t="shared" si="5"/>
        <v>0</v>
      </c>
      <c r="L75" s="549" t="str">
        <f t="shared" si="4"/>
        <v xml:space="preserve">-    </v>
      </c>
      <c r="M75" s="544"/>
      <c r="Q75" s="554"/>
      <c r="R75" s="554"/>
      <c r="S75" s="554"/>
      <c r="T75" s="554"/>
    </row>
    <row r="76" spans="1:20" s="550" customFormat="1" ht="11.25">
      <c r="A76" s="551"/>
      <c r="B76" s="583"/>
      <c r="C76" s="585" t="s">
        <v>3846</v>
      </c>
      <c r="D76" s="585" t="s">
        <v>3895</v>
      </c>
      <c r="E76" s="585"/>
      <c r="F76" s="591"/>
      <c r="G76" s="588"/>
      <c r="H76" s="588"/>
      <c r="I76" s="595">
        <f>+ROUND('11. SP Min'!D156,0)</f>
        <v>35877</v>
      </c>
      <c r="J76" s="595">
        <f>+ROUND('11. SP Min'!E156,0)</f>
        <v>21080</v>
      </c>
      <c r="K76" s="543">
        <f t="shared" si="5"/>
        <v>14797</v>
      </c>
      <c r="L76" s="549">
        <f t="shared" si="4"/>
        <v>0.70194497153700186</v>
      </c>
      <c r="M76" s="544"/>
      <c r="Q76" s="554"/>
      <c r="R76" s="554"/>
      <c r="S76" s="554"/>
      <c r="T76" s="554"/>
    </row>
    <row r="77" spans="1:20" s="550" customFormat="1" ht="11.25">
      <c r="A77" s="551"/>
      <c r="B77" s="583"/>
      <c r="C77" s="585" t="s">
        <v>3847</v>
      </c>
      <c r="D77" s="585" t="s">
        <v>3896</v>
      </c>
      <c r="E77" s="585"/>
      <c r="F77" s="591"/>
      <c r="G77" s="596"/>
      <c r="H77" s="596"/>
      <c r="I77" s="553">
        <f>+ROUND('11. SP Min'!D157,0)</f>
        <v>566465</v>
      </c>
      <c r="J77" s="595">
        <f>+ROUND('11. SP Min'!E157,0)</f>
        <v>1128287</v>
      </c>
      <c r="K77" s="543">
        <f t="shared" si="5"/>
        <v>-561822</v>
      </c>
      <c r="L77" s="549">
        <f t="shared" si="4"/>
        <v>-0.49794245613039945</v>
      </c>
      <c r="M77" s="544"/>
      <c r="Q77" s="554"/>
      <c r="R77" s="554"/>
      <c r="S77" s="554"/>
      <c r="T77" s="554"/>
    </row>
    <row r="78" spans="1:20" s="539" customFormat="1" ht="11.25">
      <c r="A78" s="581"/>
      <c r="B78" s="583" t="s">
        <v>3852</v>
      </c>
      <c r="C78" s="597" t="s">
        <v>3897</v>
      </c>
      <c r="D78" s="583"/>
      <c r="E78" s="583"/>
      <c r="F78" s="597"/>
      <c r="G78" s="583"/>
      <c r="H78" s="583"/>
      <c r="I78" s="598">
        <f>SUM(I79:I80)</f>
        <v>0</v>
      </c>
      <c r="J78" s="598">
        <f>SUM(J79:J80)</f>
        <v>0</v>
      </c>
      <c r="K78" s="543">
        <f t="shared" si="5"/>
        <v>0</v>
      </c>
      <c r="L78" s="538" t="str">
        <f t="shared" si="4"/>
        <v xml:space="preserve">-    </v>
      </c>
      <c r="M78" s="544"/>
      <c r="Q78" s="556"/>
      <c r="R78" s="556"/>
      <c r="S78" s="556"/>
      <c r="T78" s="556"/>
    </row>
    <row r="79" spans="1:20" s="550" customFormat="1" ht="11.25">
      <c r="A79" s="551"/>
      <c r="B79" s="583"/>
      <c r="C79" s="585" t="s">
        <v>86</v>
      </c>
      <c r="D79" s="585" t="s">
        <v>3898</v>
      </c>
      <c r="E79" s="583"/>
      <c r="F79" s="552"/>
      <c r="G79" s="585"/>
      <c r="H79" s="585"/>
      <c r="I79" s="595">
        <f>+ROUND('11. SP Min'!D169,0)</f>
        <v>0</v>
      </c>
      <c r="J79" s="595">
        <f>+ROUND('11. SP Min'!E169,0)</f>
        <v>0</v>
      </c>
      <c r="K79" s="543">
        <f t="shared" si="5"/>
        <v>0</v>
      </c>
      <c r="L79" s="549" t="str">
        <f t="shared" si="4"/>
        <v xml:space="preserve">-    </v>
      </c>
      <c r="M79" s="544"/>
      <c r="Q79" s="554"/>
      <c r="R79" s="554"/>
      <c r="S79" s="554"/>
      <c r="T79" s="554"/>
    </row>
    <row r="80" spans="1:20" s="550" customFormat="1" ht="11.25">
      <c r="A80" s="581"/>
      <c r="B80" s="583"/>
      <c r="C80" s="585" t="s">
        <v>88</v>
      </c>
      <c r="D80" s="585" t="s">
        <v>3145</v>
      </c>
      <c r="E80" s="583"/>
      <c r="F80" s="599"/>
      <c r="G80" s="585"/>
      <c r="H80" s="585"/>
      <c r="I80" s="595">
        <f>+ROUND('11. SP Min'!D170,0)</f>
        <v>0</v>
      </c>
      <c r="J80" s="595">
        <f>+ROUND('11. SP Min'!E170,0)</f>
        <v>0</v>
      </c>
      <c r="K80" s="543">
        <f t="shared" si="5"/>
        <v>0</v>
      </c>
      <c r="L80" s="549" t="str">
        <f t="shared" si="4"/>
        <v xml:space="preserve">-    </v>
      </c>
      <c r="M80" s="544"/>
      <c r="Q80" s="554"/>
      <c r="R80" s="554"/>
      <c r="S80" s="554"/>
      <c r="T80" s="554"/>
    </row>
    <row r="81" spans="1:20" s="539" customFormat="1" ht="11.25">
      <c r="A81" s="540"/>
      <c r="B81" s="583" t="s">
        <v>3899</v>
      </c>
      <c r="C81" s="597" t="s">
        <v>3900</v>
      </c>
      <c r="D81" s="583"/>
      <c r="E81" s="583"/>
      <c r="F81" s="533"/>
      <c r="G81" s="583"/>
      <c r="H81" s="583"/>
      <c r="I81" s="600">
        <f>SUM(I82:I85)</f>
        <v>32808726</v>
      </c>
      <c r="J81" s="601">
        <f>SUM(J82:J85)</f>
        <v>90475502</v>
      </c>
      <c r="K81" s="543">
        <f t="shared" si="5"/>
        <v>-57666776</v>
      </c>
      <c r="L81" s="538">
        <f t="shared" si="4"/>
        <v>-0.63737447955801341</v>
      </c>
      <c r="M81" s="544"/>
      <c r="Q81" s="556"/>
      <c r="R81" s="556"/>
      <c r="S81" s="556"/>
      <c r="T81" s="556"/>
    </row>
    <row r="82" spans="1:20" s="550" customFormat="1" ht="11.25">
      <c r="A82" s="581"/>
      <c r="B82" s="583"/>
      <c r="C82" s="583" t="s">
        <v>86</v>
      </c>
      <c r="D82" s="591" t="s">
        <v>3901</v>
      </c>
      <c r="E82" s="583"/>
      <c r="F82" s="591"/>
      <c r="G82" s="585"/>
      <c r="H82" s="585"/>
      <c r="I82" s="553">
        <f>+ROUND('11. SP Min'!D172,0)</f>
        <v>1373</v>
      </c>
      <c r="J82" s="595">
        <f>+ROUND('11. SP Min'!E172,0)</f>
        <v>1394</v>
      </c>
      <c r="K82" s="543">
        <f t="shared" si="5"/>
        <v>-21</v>
      </c>
      <c r="L82" s="549">
        <f t="shared" si="4"/>
        <v>-1.5064562410329985E-2</v>
      </c>
      <c r="M82" s="544"/>
      <c r="Q82" s="554"/>
      <c r="R82" s="554"/>
      <c r="S82" s="554"/>
      <c r="T82" s="554"/>
    </row>
    <row r="83" spans="1:20" s="550" customFormat="1" ht="11.25">
      <c r="A83" s="551"/>
      <c r="B83" s="583"/>
      <c r="C83" s="583" t="s">
        <v>88</v>
      </c>
      <c r="D83" s="591" t="s">
        <v>3902</v>
      </c>
      <c r="E83" s="583"/>
      <c r="F83" s="552"/>
      <c r="G83" s="585"/>
      <c r="H83" s="602"/>
      <c r="I83" s="553">
        <f>+ROUND('11. SP Min'!D173,0)</f>
        <v>32807353</v>
      </c>
      <c r="J83" s="595">
        <f>+ROUND('11. SP Min'!E173,0)</f>
        <v>90474108</v>
      </c>
      <c r="K83" s="543">
        <f t="shared" si="5"/>
        <v>-57666755</v>
      </c>
      <c r="L83" s="549">
        <f t="shared" si="4"/>
        <v>-0.63738406793687319</v>
      </c>
      <c r="M83" s="544"/>
      <c r="Q83" s="554"/>
      <c r="R83" s="554"/>
      <c r="S83" s="554"/>
      <c r="T83" s="554"/>
    </row>
    <row r="84" spans="1:20" s="550" customFormat="1" ht="11.25">
      <c r="A84" s="551"/>
      <c r="B84" s="583"/>
      <c r="C84" s="583" t="s">
        <v>116</v>
      </c>
      <c r="D84" s="591" t="s">
        <v>3165</v>
      </c>
      <c r="E84" s="583"/>
      <c r="F84" s="552"/>
      <c r="G84" s="585"/>
      <c r="H84" s="585"/>
      <c r="I84" s="553">
        <f>+ROUND('11. SP Min'!D174,0)</f>
        <v>0</v>
      </c>
      <c r="J84" s="595">
        <f>+ROUND('11. SP Min'!E174,0)</f>
        <v>0</v>
      </c>
      <c r="K84" s="543">
        <f t="shared" si="5"/>
        <v>0</v>
      </c>
      <c r="L84" s="549" t="str">
        <f t="shared" si="4"/>
        <v xml:space="preserve">-    </v>
      </c>
      <c r="M84" s="544"/>
      <c r="Q84" s="554"/>
      <c r="R84" s="554"/>
      <c r="S84" s="554"/>
      <c r="T84" s="554"/>
    </row>
    <row r="85" spans="1:20" s="550" customFormat="1" ht="11.25">
      <c r="A85" s="551"/>
      <c r="B85" s="583"/>
      <c r="C85" s="583" t="s">
        <v>3838</v>
      </c>
      <c r="D85" s="591" t="s">
        <v>3903</v>
      </c>
      <c r="E85" s="583"/>
      <c r="F85" s="552"/>
      <c r="G85" s="585"/>
      <c r="H85" s="585"/>
      <c r="I85" s="553">
        <f>+ROUND('11. SP Min'!D175,0)</f>
        <v>0</v>
      </c>
      <c r="J85" s="595">
        <f>+ROUND('11. SP Min'!E175,0)</f>
        <v>0</v>
      </c>
      <c r="K85" s="543">
        <f t="shared" si="5"/>
        <v>0</v>
      </c>
      <c r="L85" s="549" t="str">
        <f t="shared" si="4"/>
        <v xml:space="preserve">-    </v>
      </c>
      <c r="M85" s="544"/>
      <c r="Q85" s="554"/>
      <c r="R85" s="554"/>
      <c r="S85" s="554"/>
      <c r="T85" s="554"/>
    </row>
    <row r="86" spans="1:20" s="539" customFormat="1" ht="11.25">
      <c r="A86" s="737" t="s">
        <v>3904</v>
      </c>
      <c r="B86" s="738"/>
      <c r="C86" s="738"/>
      <c r="D86" s="738"/>
      <c r="E86" s="738"/>
      <c r="F86" s="738"/>
      <c r="G86" s="739"/>
      <c r="H86" s="738"/>
      <c r="I86" s="575">
        <f>I40+I46+I78+I81</f>
        <v>247439147</v>
      </c>
      <c r="J86" s="575">
        <f>J40+J46+J78+J81</f>
        <v>195675921</v>
      </c>
      <c r="K86" s="577">
        <f t="shared" si="5"/>
        <v>51763226</v>
      </c>
      <c r="L86" s="133">
        <f>IF(J86=0,"-    ",K86/J86)</f>
        <v>0.26453549182477082</v>
      </c>
      <c r="M86" s="544"/>
      <c r="Q86" s="556"/>
      <c r="R86" s="556"/>
      <c r="S86" s="556"/>
      <c r="T86" s="556"/>
    </row>
    <row r="87" spans="1:20" s="539" customFormat="1" ht="11.25">
      <c r="A87" s="581" t="s">
        <v>84</v>
      </c>
      <c r="B87" s="582" t="s">
        <v>3905</v>
      </c>
      <c r="C87" s="583"/>
      <c r="D87" s="583"/>
      <c r="E87" s="583"/>
      <c r="F87" s="533"/>
      <c r="G87" s="603"/>
      <c r="H87" s="604"/>
      <c r="I87" s="605"/>
      <c r="J87" s="605"/>
      <c r="K87" s="543">
        <f t="shared" si="5"/>
        <v>0</v>
      </c>
      <c r="L87" s="549" t="str">
        <f t="shared" ref="L87" si="6">IF(J87=0,"-    ",K87/K87)</f>
        <v xml:space="preserve">-    </v>
      </c>
      <c r="M87" s="544"/>
      <c r="Q87" s="556"/>
      <c r="R87" s="556"/>
      <c r="S87" s="556"/>
      <c r="T87" s="556"/>
    </row>
    <row r="88" spans="1:20" s="539" customFormat="1" ht="11.25">
      <c r="A88" s="581"/>
      <c r="B88" s="583" t="s">
        <v>3833</v>
      </c>
      <c r="C88" s="582" t="s">
        <v>3192</v>
      </c>
      <c r="D88" s="583"/>
      <c r="E88" s="583"/>
      <c r="F88" s="597"/>
      <c r="G88" s="583"/>
      <c r="H88" s="604"/>
      <c r="I88" s="595">
        <f>+ROUND('11. SP Min'!D177,0)</f>
        <v>0</v>
      </c>
      <c r="J88" s="595">
        <f>+ROUND('11. SP Min'!E177,0)</f>
        <v>0</v>
      </c>
      <c r="K88" s="543">
        <f t="shared" si="5"/>
        <v>0</v>
      </c>
      <c r="L88" s="549" t="str">
        <f t="shared" si="4"/>
        <v xml:space="preserve">-    </v>
      </c>
      <c r="M88" s="544"/>
      <c r="Q88" s="556"/>
      <c r="R88" s="556"/>
      <c r="S88" s="556"/>
      <c r="T88" s="556"/>
    </row>
    <row r="89" spans="1:20" s="539" customFormat="1" ht="11.25">
      <c r="A89" s="581"/>
      <c r="B89" s="583" t="s">
        <v>3840</v>
      </c>
      <c r="C89" s="582" t="s">
        <v>3200</v>
      </c>
      <c r="D89" s="583"/>
      <c r="E89" s="583"/>
      <c r="F89" s="533"/>
      <c r="G89" s="606"/>
      <c r="H89" s="604"/>
      <c r="I89" s="595">
        <f>+ROUND('11. SP Min'!D180,0)</f>
        <v>1841599</v>
      </c>
      <c r="J89" s="595">
        <f>+ROUND('11. SP Min'!E180,0)</f>
        <v>1307750</v>
      </c>
      <c r="K89" s="543">
        <f t="shared" si="5"/>
        <v>533849</v>
      </c>
      <c r="L89" s="549">
        <f t="shared" si="4"/>
        <v>0.40821946090613648</v>
      </c>
      <c r="M89" s="544"/>
      <c r="Q89" s="556"/>
      <c r="R89" s="556"/>
      <c r="S89" s="556"/>
      <c r="T89" s="556"/>
    </row>
    <row r="90" spans="1:20" s="539" customFormat="1" ht="11.25">
      <c r="A90" s="737" t="s">
        <v>3906</v>
      </c>
      <c r="B90" s="738"/>
      <c r="C90" s="738"/>
      <c r="D90" s="738"/>
      <c r="E90" s="738"/>
      <c r="F90" s="738"/>
      <c r="G90" s="740"/>
      <c r="H90" s="738"/>
      <c r="I90" s="575">
        <f>SUM(I88:I89)</f>
        <v>1841599</v>
      </c>
      <c r="J90" s="575">
        <f>SUM(J88:J89)</f>
        <v>1307750</v>
      </c>
      <c r="K90" s="577">
        <f t="shared" si="5"/>
        <v>533849</v>
      </c>
      <c r="L90" s="133">
        <f t="shared" si="4"/>
        <v>0.40821946090613648</v>
      </c>
      <c r="M90" s="544"/>
      <c r="Q90" s="556"/>
      <c r="R90" s="556"/>
      <c r="S90" s="556"/>
      <c r="T90" s="556"/>
    </row>
    <row r="91" spans="1:20" s="539" customFormat="1" ht="5.45" customHeight="1" thickBot="1">
      <c r="A91" s="607"/>
      <c r="B91" s="597"/>
      <c r="C91" s="597"/>
      <c r="D91" s="597"/>
      <c r="E91" s="597"/>
      <c r="F91" s="597"/>
      <c r="G91" s="597"/>
      <c r="H91" s="597"/>
      <c r="I91" s="608"/>
      <c r="J91" s="608"/>
      <c r="K91" s="609"/>
      <c r="L91" s="549"/>
      <c r="M91" s="544"/>
      <c r="Q91" s="556"/>
      <c r="R91" s="556"/>
      <c r="S91" s="556"/>
      <c r="T91" s="556"/>
    </row>
    <row r="92" spans="1:20" s="539" customFormat="1" ht="12" thickBot="1">
      <c r="A92" s="717" t="s">
        <v>3907</v>
      </c>
      <c r="B92" s="718"/>
      <c r="C92" s="718"/>
      <c r="D92" s="718"/>
      <c r="E92" s="718"/>
      <c r="F92" s="718"/>
      <c r="G92" s="718"/>
      <c r="H92" s="718"/>
      <c r="I92" s="610">
        <f>I37+I86+I90</f>
        <v>249702445</v>
      </c>
      <c r="J92" s="610">
        <f>J37+J86+J90</f>
        <v>197485657</v>
      </c>
      <c r="K92" s="611">
        <f>+I92-J92</f>
        <v>52216788</v>
      </c>
      <c r="L92" s="134">
        <f t="shared" si="4"/>
        <v>0.26440800204543463</v>
      </c>
      <c r="M92" s="544"/>
      <c r="N92" s="544">
        <f>+K92-K161</f>
        <v>0</v>
      </c>
      <c r="Q92" s="556"/>
      <c r="R92" s="556"/>
      <c r="S92" s="556"/>
      <c r="T92" s="556"/>
    </row>
    <row r="93" spans="1:20" s="539" customFormat="1" ht="11.25">
      <c r="A93" s="581" t="s">
        <v>92</v>
      </c>
      <c r="B93" s="582" t="s">
        <v>3908</v>
      </c>
      <c r="C93" s="583"/>
      <c r="D93" s="583"/>
      <c r="E93" s="583"/>
      <c r="F93" s="533"/>
      <c r="G93" s="583"/>
      <c r="H93" s="604"/>
      <c r="I93" s="605"/>
      <c r="J93" s="605"/>
      <c r="K93" s="609"/>
      <c r="L93" s="549"/>
      <c r="M93" s="544"/>
      <c r="Q93" s="556"/>
      <c r="R93" s="556"/>
      <c r="S93" s="556"/>
      <c r="T93" s="556"/>
    </row>
    <row r="94" spans="1:20" s="539" customFormat="1" ht="11.25">
      <c r="A94" s="581"/>
      <c r="B94" s="585" t="s">
        <v>3909</v>
      </c>
      <c r="C94" s="612" t="s">
        <v>3910</v>
      </c>
      <c r="D94" s="585"/>
      <c r="E94" s="585"/>
      <c r="F94" s="591"/>
      <c r="G94" s="583"/>
      <c r="H94" s="604"/>
      <c r="I94" s="595">
        <f>+ROUND('11. SP Min'!D185,0)</f>
        <v>0</v>
      </c>
      <c r="J94" s="595">
        <f>+ROUND('11. SP Min'!E185,0)</f>
        <v>0</v>
      </c>
      <c r="K94" s="543">
        <f>+I94-J94</f>
        <v>0</v>
      </c>
      <c r="L94" s="538" t="str">
        <f t="shared" si="4"/>
        <v xml:space="preserve">-    </v>
      </c>
      <c r="M94" s="544"/>
      <c r="Q94" s="556"/>
      <c r="R94" s="556"/>
      <c r="S94" s="556"/>
      <c r="T94" s="556"/>
    </row>
    <row r="95" spans="1:20" s="539" customFormat="1" ht="11.25">
      <c r="A95" s="581"/>
      <c r="B95" s="585" t="s">
        <v>88</v>
      </c>
      <c r="C95" s="591" t="s">
        <v>3911</v>
      </c>
      <c r="D95" s="585"/>
      <c r="E95" s="585"/>
      <c r="F95" s="552"/>
      <c r="G95" s="583"/>
      <c r="H95" s="604"/>
      <c r="I95" s="595">
        <f>+ROUND('11. SP Min'!D186,0)</f>
        <v>0</v>
      </c>
      <c r="J95" s="595">
        <f>+ROUND('11. SP Min'!E186,0)</f>
        <v>0</v>
      </c>
      <c r="K95" s="543">
        <f t="shared" ref="K95:K98" si="7">+I95-J95</f>
        <v>0</v>
      </c>
      <c r="L95" s="538" t="str">
        <f t="shared" si="4"/>
        <v xml:space="preserve">-    </v>
      </c>
      <c r="M95" s="544"/>
      <c r="Q95" s="556"/>
      <c r="R95" s="556"/>
      <c r="S95" s="556"/>
      <c r="T95" s="556"/>
    </row>
    <row r="96" spans="1:20" s="539" customFormat="1" ht="11.25">
      <c r="A96" s="581"/>
      <c r="B96" s="591" t="s">
        <v>116</v>
      </c>
      <c r="C96" s="585" t="s">
        <v>3912</v>
      </c>
      <c r="D96" s="585"/>
      <c r="E96" s="585"/>
      <c r="F96" s="552"/>
      <c r="G96" s="583"/>
      <c r="H96" s="604"/>
      <c r="I96" s="595">
        <f>+ROUND('11. SP Min'!D187,0)</f>
        <v>347397</v>
      </c>
      <c r="J96" s="595">
        <f>+ROUND('11. SP Min'!E187,0)</f>
        <v>347397</v>
      </c>
      <c r="K96" s="543">
        <f t="shared" si="7"/>
        <v>0</v>
      </c>
      <c r="L96" s="538">
        <f t="shared" si="4"/>
        <v>0</v>
      </c>
      <c r="M96" s="544"/>
      <c r="Q96" s="556"/>
      <c r="R96" s="556"/>
      <c r="S96" s="556"/>
      <c r="T96" s="556"/>
    </row>
    <row r="97" spans="1:20" s="539" customFormat="1" ht="11.25">
      <c r="A97" s="581"/>
      <c r="B97" s="585" t="s">
        <v>3838</v>
      </c>
      <c r="C97" s="612" t="s">
        <v>3913</v>
      </c>
      <c r="D97" s="585"/>
      <c r="E97" s="585"/>
      <c r="F97" s="591"/>
      <c r="G97" s="606"/>
      <c r="H97" s="604"/>
      <c r="I97" s="595">
        <f>+ROUND('11. SP Min'!D188+'11. SP Min'!D189,0)</f>
        <v>0</v>
      </c>
      <c r="J97" s="595">
        <f>+ROUND('11. SP Min'!E188+'11. SP Min'!E189,0)</f>
        <v>0</v>
      </c>
      <c r="K97" s="543">
        <f t="shared" si="7"/>
        <v>0</v>
      </c>
      <c r="L97" s="538" t="str">
        <f t="shared" si="4"/>
        <v xml:space="preserve">-    </v>
      </c>
      <c r="M97" s="544"/>
      <c r="Q97" s="556"/>
      <c r="R97" s="556"/>
      <c r="S97" s="556"/>
      <c r="T97" s="556"/>
    </row>
    <row r="98" spans="1:20" s="539" customFormat="1" ht="12" thickBot="1">
      <c r="A98" s="743" t="s">
        <v>3914</v>
      </c>
      <c r="B98" s="744"/>
      <c r="C98" s="744"/>
      <c r="D98" s="744"/>
      <c r="E98" s="744"/>
      <c r="F98" s="744"/>
      <c r="G98" s="745"/>
      <c r="H98" s="746"/>
      <c r="I98" s="613">
        <f>SUM(I94:I97)</f>
        <v>347397</v>
      </c>
      <c r="J98" s="613">
        <f>SUM(J94:J97)</f>
        <v>347397</v>
      </c>
      <c r="K98" s="614">
        <f t="shared" si="7"/>
        <v>0</v>
      </c>
      <c r="L98" s="615">
        <f t="shared" si="4"/>
        <v>0</v>
      </c>
      <c r="M98" s="544"/>
      <c r="N98" s="544"/>
      <c r="Q98" s="556"/>
      <c r="R98" s="556"/>
      <c r="S98" s="556"/>
      <c r="T98" s="556"/>
    </row>
    <row r="99" spans="1:20" s="550" customFormat="1" ht="11.25">
      <c r="A99" s="541"/>
      <c r="B99" s="541"/>
      <c r="C99" s="541"/>
      <c r="D99" s="541"/>
      <c r="E99" s="541"/>
      <c r="F99" s="541"/>
      <c r="G99" s="541"/>
      <c r="H99" s="541"/>
      <c r="I99" s="616"/>
      <c r="J99" s="617"/>
      <c r="K99" s="152"/>
      <c r="L99" s="618"/>
      <c r="M99" s="544"/>
      <c r="Q99" s="554"/>
      <c r="R99" s="554"/>
      <c r="S99" s="554"/>
      <c r="T99" s="554"/>
    </row>
    <row r="100" spans="1:20" s="550" customFormat="1" ht="120" customHeight="1" thickBot="1">
      <c r="A100" s="619"/>
      <c r="B100" s="619"/>
      <c r="C100" s="619"/>
      <c r="D100" s="619"/>
      <c r="E100" s="619"/>
      <c r="F100" s="587"/>
      <c r="G100" s="620"/>
      <c r="H100" s="620"/>
      <c r="I100" s="516"/>
      <c r="J100" s="516"/>
      <c r="K100" s="620"/>
      <c r="L100" s="621"/>
      <c r="M100" s="544"/>
      <c r="Q100" s="554"/>
      <c r="R100" s="554"/>
      <c r="S100" s="554"/>
      <c r="T100" s="554"/>
    </row>
    <row r="101" spans="1:20" ht="32.25" customHeight="1" thickBot="1">
      <c r="A101" s="747" t="s">
        <v>3915</v>
      </c>
      <c r="B101" s="748"/>
      <c r="C101" s="748"/>
      <c r="D101" s="748"/>
      <c r="E101" s="748"/>
      <c r="F101" s="748"/>
      <c r="G101" s="748"/>
      <c r="H101" s="748"/>
      <c r="I101" s="748"/>
      <c r="J101" s="748"/>
      <c r="K101" s="721" t="s">
        <v>3916</v>
      </c>
      <c r="L101" s="722"/>
      <c r="M101" s="544"/>
    </row>
    <row r="102" spans="1:20" ht="13.5" thickBot="1">
      <c r="A102" s="622"/>
      <c r="B102" s="622"/>
      <c r="C102" s="622"/>
      <c r="D102" s="622"/>
      <c r="E102" s="622"/>
      <c r="F102" s="623"/>
      <c r="G102" s="620"/>
      <c r="H102" s="620"/>
      <c r="I102" s="516"/>
      <c r="J102" s="517"/>
      <c r="K102" s="518"/>
      <c r="L102" s="519"/>
      <c r="M102" s="544"/>
    </row>
    <row r="103" spans="1:20" ht="13.15" customHeight="1">
      <c r="A103" s="749" t="s">
        <v>1808</v>
      </c>
      <c r="B103" s="750"/>
      <c r="C103" s="750"/>
      <c r="D103" s="750"/>
      <c r="E103" s="750"/>
      <c r="F103" s="750"/>
      <c r="G103" s="750"/>
      <c r="H103" s="750"/>
      <c r="I103" s="728" t="s">
        <v>3830</v>
      </c>
      <c r="J103" s="728" t="s">
        <v>3831</v>
      </c>
      <c r="K103" s="730" t="s">
        <v>2581</v>
      </c>
      <c r="L103" s="731"/>
      <c r="M103" s="544"/>
    </row>
    <row r="104" spans="1:20" ht="39.75" customHeight="1">
      <c r="A104" s="751"/>
      <c r="B104" s="752"/>
      <c r="C104" s="752"/>
      <c r="D104" s="752"/>
      <c r="E104" s="752"/>
      <c r="F104" s="752"/>
      <c r="G104" s="753"/>
      <c r="H104" s="752"/>
      <c r="I104" s="729"/>
      <c r="J104" s="729"/>
      <c r="K104" s="520" t="s">
        <v>2</v>
      </c>
      <c r="L104" s="521" t="s">
        <v>3</v>
      </c>
      <c r="M104" s="544"/>
    </row>
    <row r="105" spans="1:20" s="550" customFormat="1" ht="11.25">
      <c r="A105" s="624"/>
      <c r="B105" s="625"/>
      <c r="C105" s="625"/>
      <c r="D105" s="625"/>
      <c r="E105" s="625"/>
      <c r="F105" s="626"/>
      <c r="G105" s="627"/>
      <c r="H105" s="628"/>
      <c r="I105" s="629"/>
      <c r="J105" s="630"/>
      <c r="K105" s="631"/>
      <c r="L105" s="632"/>
      <c r="M105" s="544"/>
      <c r="Q105" s="554"/>
      <c r="R105" s="554"/>
      <c r="S105" s="554"/>
      <c r="T105" s="554"/>
    </row>
    <row r="106" spans="1:20" s="539" customFormat="1" ht="11.25">
      <c r="A106" s="530" t="s">
        <v>4</v>
      </c>
      <c r="B106" s="155" t="s">
        <v>3917</v>
      </c>
      <c r="C106" s="532"/>
      <c r="D106" s="532"/>
      <c r="E106" s="532"/>
      <c r="F106" s="533"/>
      <c r="G106" s="534"/>
      <c r="H106" s="167"/>
      <c r="I106" s="633"/>
      <c r="J106" s="598"/>
      <c r="K106" s="172"/>
      <c r="L106" s="634"/>
      <c r="M106" s="544"/>
      <c r="Q106" s="556"/>
      <c r="R106" s="556"/>
      <c r="S106" s="556"/>
      <c r="T106" s="556"/>
    </row>
    <row r="107" spans="1:20" s="539" customFormat="1" ht="11.25">
      <c r="A107" s="530"/>
      <c r="B107" s="532"/>
      <c r="C107" s="532"/>
      <c r="D107" s="532"/>
      <c r="E107" s="532"/>
      <c r="F107" s="541"/>
      <c r="G107" s="534"/>
      <c r="H107" s="167"/>
      <c r="I107" s="633"/>
      <c r="J107" s="598"/>
      <c r="K107" s="543"/>
      <c r="L107" s="634"/>
      <c r="M107" s="544"/>
      <c r="Q107" s="556"/>
      <c r="R107" s="556"/>
      <c r="S107" s="556"/>
      <c r="T107" s="556"/>
    </row>
    <row r="108" spans="1:20" s="539" customFormat="1" ht="11.25">
      <c r="A108" s="540"/>
      <c r="B108" s="532" t="s">
        <v>3833</v>
      </c>
      <c r="C108" s="541" t="s">
        <v>3918</v>
      </c>
      <c r="D108" s="532"/>
      <c r="E108" s="532"/>
      <c r="F108" s="533"/>
      <c r="G108" s="534"/>
      <c r="H108" s="167"/>
      <c r="I108" s="598">
        <f>+ROUND('11. SP Min'!D191,0)</f>
        <v>0</v>
      </c>
      <c r="J108" s="598">
        <f>+ROUND('11. SP Min'!E191,0)</f>
        <v>0</v>
      </c>
      <c r="K108" s="609">
        <f>+I108-J108</f>
        <v>0</v>
      </c>
      <c r="L108" s="549" t="str">
        <f t="shared" ref="L108:L167" si="8">IF(J108=0,"-    ",K108/J108)</f>
        <v xml:space="preserve">-    </v>
      </c>
      <c r="M108" s="544"/>
      <c r="N108" s="635"/>
      <c r="Q108" s="556"/>
      <c r="R108" s="556"/>
      <c r="S108" s="556"/>
      <c r="T108" s="556"/>
    </row>
    <row r="109" spans="1:20" s="539" customFormat="1" ht="11.25">
      <c r="A109" s="540"/>
      <c r="B109" s="532" t="s">
        <v>3840</v>
      </c>
      <c r="C109" s="636" t="s">
        <v>3919</v>
      </c>
      <c r="D109" s="532"/>
      <c r="E109" s="532"/>
      <c r="F109" s="637"/>
      <c r="G109" s="534"/>
      <c r="H109" s="167"/>
      <c r="I109" s="542">
        <f>I110+I111+SUM(I115:I117)</f>
        <v>808959</v>
      </c>
      <c r="J109" s="598">
        <f>J110+J111+SUM(J115:J117)</f>
        <v>891863</v>
      </c>
      <c r="K109" s="609">
        <f>+I109-J109</f>
        <v>-82904</v>
      </c>
      <c r="L109" s="549">
        <f t="shared" si="8"/>
        <v>-9.2955980907381511E-2</v>
      </c>
      <c r="M109" s="544"/>
      <c r="Q109" s="556"/>
      <c r="R109" s="556"/>
      <c r="S109" s="556"/>
      <c r="T109" s="556"/>
    </row>
    <row r="110" spans="1:20" s="550" customFormat="1" ht="11.25">
      <c r="A110" s="551"/>
      <c r="B110" s="532"/>
      <c r="C110" s="585" t="s">
        <v>86</v>
      </c>
      <c r="D110" s="585" t="s">
        <v>3238</v>
      </c>
      <c r="E110" s="583"/>
      <c r="F110" s="546"/>
      <c r="G110" s="547"/>
      <c r="H110" s="166"/>
      <c r="I110" s="553">
        <f>+ROUND('11. SP Min'!D193,0)</f>
        <v>0</v>
      </c>
      <c r="J110" s="595">
        <f>+ROUND('11. SP Min'!E193,0)</f>
        <v>0</v>
      </c>
      <c r="K110" s="609">
        <f t="shared" ref="K110:K167" si="9">+I110-J110</f>
        <v>0</v>
      </c>
      <c r="L110" s="549" t="str">
        <f t="shared" si="8"/>
        <v xml:space="preserve">-    </v>
      </c>
      <c r="M110" s="544"/>
      <c r="Q110" s="554"/>
      <c r="R110" s="554"/>
      <c r="S110" s="554"/>
      <c r="T110" s="554"/>
    </row>
    <row r="111" spans="1:20" s="550" customFormat="1" ht="11.25">
      <c r="A111" s="551"/>
      <c r="B111" s="532"/>
      <c r="C111" s="585" t="s">
        <v>88</v>
      </c>
      <c r="D111" s="585" t="s">
        <v>3920</v>
      </c>
      <c r="E111" s="583"/>
      <c r="F111" s="546"/>
      <c r="G111" s="547"/>
      <c r="H111" s="166"/>
      <c r="I111" s="553">
        <f>SUM(I112:I114)</f>
        <v>0</v>
      </c>
      <c r="J111" s="595">
        <f>SUM(J112:J114)</f>
        <v>0</v>
      </c>
      <c r="K111" s="609">
        <f t="shared" si="9"/>
        <v>0</v>
      </c>
      <c r="L111" s="549" t="str">
        <f t="shared" si="8"/>
        <v xml:space="preserve">-    </v>
      </c>
      <c r="M111" s="544"/>
      <c r="Q111" s="554"/>
      <c r="R111" s="554"/>
      <c r="S111" s="554"/>
      <c r="T111" s="554"/>
    </row>
    <row r="112" spans="1:20" s="550" customFormat="1" ht="11.25">
      <c r="A112" s="551"/>
      <c r="B112" s="583"/>
      <c r="C112" s="585"/>
      <c r="D112" s="589" t="s">
        <v>3921</v>
      </c>
      <c r="E112" s="589" t="s">
        <v>3243</v>
      </c>
      <c r="F112" s="591"/>
      <c r="G112" s="585"/>
      <c r="H112" s="585"/>
      <c r="I112" s="553">
        <f>+ROUND('11. SP Min'!D195,0)</f>
        <v>0</v>
      </c>
      <c r="J112" s="595">
        <f>+ROUND('11. SP Min'!E195,0)</f>
        <v>0</v>
      </c>
      <c r="K112" s="609">
        <f t="shared" si="9"/>
        <v>0</v>
      </c>
      <c r="L112" s="549" t="str">
        <f t="shared" si="8"/>
        <v xml:space="preserve">-    </v>
      </c>
      <c r="M112" s="544"/>
      <c r="Q112" s="554"/>
      <c r="R112" s="554"/>
      <c r="S112" s="554"/>
      <c r="T112" s="554"/>
    </row>
    <row r="113" spans="1:20" s="550" customFormat="1" ht="11.25">
      <c r="A113" s="551"/>
      <c r="B113" s="583"/>
      <c r="C113" s="585"/>
      <c r="D113" s="589" t="s">
        <v>3844</v>
      </c>
      <c r="E113" s="589" t="s">
        <v>3922</v>
      </c>
      <c r="F113" s="591"/>
      <c r="G113" s="585"/>
      <c r="H113" s="585"/>
      <c r="I113" s="553">
        <f>+ROUND('11. SP Min'!D196,0)</f>
        <v>0</v>
      </c>
      <c r="J113" s="595">
        <f>+ROUND('11. SP Min'!E196,0)</f>
        <v>0</v>
      </c>
      <c r="K113" s="609">
        <f t="shared" si="9"/>
        <v>0</v>
      </c>
      <c r="L113" s="549" t="str">
        <f t="shared" si="8"/>
        <v xml:space="preserve">-    </v>
      </c>
      <c r="M113" s="544"/>
      <c r="Q113" s="554"/>
      <c r="R113" s="554"/>
      <c r="S113" s="554"/>
      <c r="T113" s="554"/>
    </row>
    <row r="114" spans="1:20" s="550" customFormat="1" ht="11.25">
      <c r="A114" s="551"/>
      <c r="B114" s="583"/>
      <c r="C114" s="585"/>
      <c r="D114" s="589" t="s">
        <v>3923</v>
      </c>
      <c r="E114" s="589" t="s">
        <v>3924</v>
      </c>
      <c r="F114" s="591"/>
      <c r="G114" s="585"/>
      <c r="H114" s="585"/>
      <c r="I114" s="553">
        <f>+ROUND('11. SP Min'!D197,0)</f>
        <v>0</v>
      </c>
      <c r="J114" s="595">
        <f>+ROUND('11. SP Min'!E197,0)</f>
        <v>0</v>
      </c>
      <c r="K114" s="609">
        <f t="shared" si="9"/>
        <v>0</v>
      </c>
      <c r="L114" s="549" t="str">
        <f t="shared" si="8"/>
        <v xml:space="preserve">-    </v>
      </c>
      <c r="M114" s="544"/>
      <c r="Q114" s="554"/>
      <c r="R114" s="554"/>
      <c r="S114" s="554"/>
      <c r="T114" s="554"/>
    </row>
    <row r="115" spans="1:20" s="550" customFormat="1" ht="11.25">
      <c r="A115" s="551"/>
      <c r="B115" s="583"/>
      <c r="C115" s="566" t="s">
        <v>116</v>
      </c>
      <c r="D115" s="566" t="s">
        <v>3925</v>
      </c>
      <c r="E115" s="585"/>
      <c r="F115" s="591"/>
      <c r="G115" s="585"/>
      <c r="H115" s="585"/>
      <c r="I115" s="553">
        <f>+ROUND('11. SP Min'!D198,0)</f>
        <v>807077</v>
      </c>
      <c r="J115" s="595">
        <f>+ROUND('11. SP Min'!E198,0)</f>
        <v>889981</v>
      </c>
      <c r="K115" s="609">
        <f t="shared" si="9"/>
        <v>-82904</v>
      </c>
      <c r="L115" s="549">
        <f t="shared" si="8"/>
        <v>-9.3152550447706192E-2</v>
      </c>
      <c r="M115" s="544"/>
      <c r="Q115" s="554"/>
      <c r="R115" s="554"/>
      <c r="S115" s="554"/>
      <c r="T115" s="554"/>
    </row>
    <row r="116" spans="1:20" s="550" customFormat="1" ht="11.25">
      <c r="A116" s="551"/>
      <c r="B116" s="583"/>
      <c r="C116" s="566" t="s">
        <v>3838</v>
      </c>
      <c r="D116" s="566" t="s">
        <v>3926</v>
      </c>
      <c r="E116" s="585"/>
      <c r="F116" s="591"/>
      <c r="G116" s="585"/>
      <c r="H116" s="585"/>
      <c r="I116" s="553">
        <f>+ROUND('11. SP Min'!D199,0)</f>
        <v>1882</v>
      </c>
      <c r="J116" s="595">
        <f>+ROUND('11. SP Min'!E199,0)</f>
        <v>1882</v>
      </c>
      <c r="K116" s="609">
        <f t="shared" si="9"/>
        <v>0</v>
      </c>
      <c r="L116" s="549">
        <f t="shared" si="8"/>
        <v>0</v>
      </c>
      <c r="M116" s="544"/>
      <c r="Q116" s="554"/>
      <c r="R116" s="554"/>
      <c r="S116" s="554"/>
      <c r="T116" s="554"/>
    </row>
    <row r="117" spans="1:20" s="550" customFormat="1" ht="11.25">
      <c r="A117" s="551"/>
      <c r="B117" s="532"/>
      <c r="C117" s="566" t="s">
        <v>3839</v>
      </c>
      <c r="D117" s="566" t="s">
        <v>3260</v>
      </c>
      <c r="E117" s="532"/>
      <c r="F117" s="546"/>
      <c r="G117" s="547"/>
      <c r="H117" s="166"/>
      <c r="I117" s="553">
        <f>+ROUND('11. SP Min'!D200,0)</f>
        <v>0</v>
      </c>
      <c r="J117" s="595">
        <f>+ROUND('11. SP Min'!E200,0)</f>
        <v>0</v>
      </c>
      <c r="K117" s="609">
        <f t="shared" si="9"/>
        <v>0</v>
      </c>
      <c r="L117" s="549" t="str">
        <f t="shared" si="8"/>
        <v xml:space="preserve">-    </v>
      </c>
      <c r="M117" s="544"/>
      <c r="Q117" s="554"/>
      <c r="R117" s="554"/>
      <c r="S117" s="554"/>
      <c r="T117" s="554"/>
    </row>
    <row r="118" spans="1:20" s="539" customFormat="1" ht="11.25">
      <c r="A118" s="540"/>
      <c r="B118" s="636" t="s">
        <v>3852</v>
      </c>
      <c r="C118" s="636" t="s">
        <v>3927</v>
      </c>
      <c r="D118" s="532"/>
      <c r="E118" s="532"/>
      <c r="F118" s="637"/>
      <c r="G118" s="534"/>
      <c r="H118" s="167"/>
      <c r="I118" s="542">
        <f>+ROUND('11. SP Min'!D201,0)</f>
        <v>0</v>
      </c>
      <c r="J118" s="598">
        <f>+ROUND('11. SP Min'!E201,0)</f>
        <v>0</v>
      </c>
      <c r="K118" s="609">
        <f t="shared" si="9"/>
        <v>0</v>
      </c>
      <c r="L118" s="549" t="str">
        <f t="shared" si="8"/>
        <v xml:space="preserve">-    </v>
      </c>
      <c r="M118" s="544"/>
      <c r="Q118" s="556"/>
      <c r="R118" s="556"/>
      <c r="S118" s="556"/>
      <c r="T118" s="556"/>
    </row>
    <row r="119" spans="1:20" s="539" customFormat="1" ht="11.25">
      <c r="A119" s="540"/>
      <c r="B119" s="636" t="s">
        <v>3899</v>
      </c>
      <c r="C119" s="541" t="s">
        <v>3928</v>
      </c>
      <c r="D119" s="532"/>
      <c r="E119" s="532"/>
      <c r="F119" s="637"/>
      <c r="G119" s="534"/>
      <c r="H119" s="167"/>
      <c r="I119" s="542">
        <f>+ROUND('11. SP Min'!D202,0)+2</f>
        <v>3656739</v>
      </c>
      <c r="J119" s="542">
        <f>+ROUND('11. SP Min'!E202,0)-3</f>
        <v>2223958</v>
      </c>
      <c r="K119" s="609">
        <f t="shared" si="9"/>
        <v>1432781</v>
      </c>
      <c r="L119" s="549">
        <f t="shared" si="8"/>
        <v>0.64424822770933621</v>
      </c>
      <c r="M119" s="544"/>
      <c r="Q119" s="556"/>
      <c r="R119" s="556"/>
      <c r="S119" s="556"/>
      <c r="T119" s="556"/>
    </row>
    <row r="120" spans="1:20" s="539" customFormat="1" ht="11.25">
      <c r="A120" s="540"/>
      <c r="B120" s="636" t="s">
        <v>3929</v>
      </c>
      <c r="C120" s="541" t="s">
        <v>3930</v>
      </c>
      <c r="D120" s="532"/>
      <c r="E120" s="532"/>
      <c r="F120" s="533"/>
      <c r="G120" s="534"/>
      <c r="H120" s="167"/>
      <c r="I120" s="598">
        <f>+ROUND('11. SP Min'!D208,0)</f>
        <v>0</v>
      </c>
      <c r="J120" s="598">
        <f>+ROUND('11. SP Min'!E208,0)</f>
        <v>0</v>
      </c>
      <c r="K120" s="609">
        <f t="shared" si="9"/>
        <v>0</v>
      </c>
      <c r="L120" s="549" t="str">
        <f t="shared" si="8"/>
        <v xml:space="preserve">-    </v>
      </c>
      <c r="M120" s="544"/>
      <c r="Q120" s="556"/>
      <c r="R120" s="556"/>
      <c r="S120" s="556"/>
      <c r="T120" s="556"/>
    </row>
    <row r="121" spans="1:20" s="539" customFormat="1" ht="11.25">
      <c r="A121" s="540"/>
      <c r="B121" s="636" t="s">
        <v>3931</v>
      </c>
      <c r="C121" s="541" t="s">
        <v>3932</v>
      </c>
      <c r="D121" s="532"/>
      <c r="E121" s="532"/>
      <c r="F121" s="637"/>
      <c r="G121" s="534"/>
      <c r="H121" s="167"/>
      <c r="I121" s="598">
        <f>+ROUND('11. SP Min'!D212,0)</f>
        <v>0</v>
      </c>
      <c r="J121" s="598">
        <f>+ROUND('11. SP Min'!E212,0)</f>
        <v>0</v>
      </c>
      <c r="K121" s="609">
        <f t="shared" si="9"/>
        <v>0</v>
      </c>
      <c r="L121" s="549" t="str">
        <f t="shared" si="8"/>
        <v xml:space="preserve">-    </v>
      </c>
      <c r="M121" s="544"/>
      <c r="Q121" s="556"/>
      <c r="R121" s="556"/>
      <c r="S121" s="556"/>
      <c r="T121" s="556"/>
    </row>
    <row r="122" spans="1:20" s="539" customFormat="1" ht="11.25">
      <c r="A122" s="540"/>
      <c r="B122" s="636" t="s">
        <v>3933</v>
      </c>
      <c r="C122" s="541" t="s">
        <v>3934</v>
      </c>
      <c r="D122" s="532"/>
      <c r="E122" s="532"/>
      <c r="F122" s="637"/>
      <c r="G122" s="534"/>
      <c r="H122" s="167"/>
      <c r="I122" s="598">
        <f>+ROUND('11. SP Min'!D213,0)</f>
        <v>2874961</v>
      </c>
      <c r="J122" s="598">
        <f>+ROUND('11. SP Min'!E213,0)</f>
        <v>1432776</v>
      </c>
      <c r="K122" s="609">
        <f t="shared" si="9"/>
        <v>1442185</v>
      </c>
      <c r="L122" s="638">
        <f t="shared" si="8"/>
        <v>1.0065669720877513</v>
      </c>
      <c r="M122" s="544"/>
      <c r="Q122" s="556"/>
      <c r="R122" s="556"/>
      <c r="S122" s="556"/>
      <c r="T122" s="556"/>
    </row>
    <row r="123" spans="1:20" s="539" customFormat="1" ht="11.25">
      <c r="A123" s="734" t="s">
        <v>3860</v>
      </c>
      <c r="B123" s="735"/>
      <c r="C123" s="735"/>
      <c r="D123" s="735"/>
      <c r="E123" s="735"/>
      <c r="F123" s="735"/>
      <c r="G123" s="754"/>
      <c r="H123" s="735"/>
      <c r="I123" s="575">
        <f>I108+I109+SUM(I118:I122)</f>
        <v>7340659</v>
      </c>
      <c r="J123" s="575">
        <f>J108+J109+SUM(J118:J122)</f>
        <v>4548597</v>
      </c>
      <c r="K123" s="639">
        <f t="shared" si="9"/>
        <v>2792062</v>
      </c>
      <c r="L123" s="133">
        <f t="shared" si="8"/>
        <v>0.61382927526883568</v>
      </c>
      <c r="M123" s="544"/>
      <c r="Q123" s="556"/>
      <c r="R123" s="556"/>
      <c r="S123" s="556"/>
      <c r="T123" s="556"/>
    </row>
    <row r="124" spans="1:20" s="539" customFormat="1" ht="11.25">
      <c r="A124" s="640" t="s">
        <v>33</v>
      </c>
      <c r="B124" s="155" t="s">
        <v>3935</v>
      </c>
      <c r="C124" s="636"/>
      <c r="D124" s="532"/>
      <c r="E124" s="532"/>
      <c r="F124" s="533"/>
      <c r="G124" s="641"/>
      <c r="H124" s="167"/>
      <c r="I124" s="578"/>
      <c r="J124" s="578"/>
      <c r="K124" s="543">
        <f t="shared" si="9"/>
        <v>0</v>
      </c>
      <c r="L124" s="142" t="str">
        <f t="shared" si="8"/>
        <v xml:space="preserve">-    </v>
      </c>
      <c r="M124" s="544"/>
      <c r="Q124" s="556"/>
      <c r="R124" s="556"/>
      <c r="S124" s="556"/>
      <c r="T124" s="556"/>
    </row>
    <row r="125" spans="1:20" s="539" customFormat="1" ht="11.25">
      <c r="A125" s="640"/>
      <c r="B125" s="636" t="s">
        <v>86</v>
      </c>
      <c r="C125" s="155" t="s">
        <v>3936</v>
      </c>
      <c r="D125" s="532"/>
      <c r="E125" s="532"/>
      <c r="F125" s="533"/>
      <c r="G125" s="534"/>
      <c r="H125" s="167"/>
      <c r="I125" s="598">
        <f>+ROUND('11. SP Min'!D215,0)</f>
        <v>0</v>
      </c>
      <c r="J125" s="598">
        <f>+ROUND('11. SP Min'!E215,0)</f>
        <v>0</v>
      </c>
      <c r="K125" s="609">
        <f t="shared" si="9"/>
        <v>0</v>
      </c>
      <c r="L125" s="549" t="str">
        <f t="shared" si="8"/>
        <v xml:space="preserve">-    </v>
      </c>
      <c r="M125" s="544"/>
      <c r="Q125" s="556"/>
      <c r="R125" s="556"/>
      <c r="S125" s="556"/>
      <c r="T125" s="556"/>
    </row>
    <row r="126" spans="1:20" s="539" customFormat="1" ht="11.25">
      <c r="A126" s="640"/>
      <c r="B126" s="636" t="s">
        <v>88</v>
      </c>
      <c r="C126" s="155" t="s">
        <v>3937</v>
      </c>
      <c r="D126" s="532"/>
      <c r="E126" s="532"/>
      <c r="F126" s="541"/>
      <c r="G126" s="534"/>
      <c r="H126" s="167"/>
      <c r="I126" s="598">
        <f>+ROUND('11. SP Min'!D216,0)</f>
        <v>50103982</v>
      </c>
      <c r="J126" s="598">
        <f>+ROUND('11. SP Min'!E216,0)</f>
        <v>50135308</v>
      </c>
      <c r="K126" s="609">
        <f t="shared" si="9"/>
        <v>-31326</v>
      </c>
      <c r="L126" s="549">
        <f t="shared" si="8"/>
        <v>-6.2482911244905487E-4</v>
      </c>
      <c r="M126" s="544"/>
      <c r="Q126" s="556"/>
      <c r="R126" s="556"/>
      <c r="S126" s="556"/>
      <c r="T126" s="556"/>
    </row>
    <row r="127" spans="1:20" s="539" customFormat="1" ht="11.25">
      <c r="A127" s="640"/>
      <c r="B127" s="636" t="s">
        <v>116</v>
      </c>
      <c r="C127" s="155" t="s">
        <v>3938</v>
      </c>
      <c r="D127" s="532"/>
      <c r="E127" s="532"/>
      <c r="F127" s="533"/>
      <c r="G127" s="534"/>
      <c r="H127" s="167"/>
      <c r="I127" s="598">
        <f>+ROUND('11. SP Min'!D224,0)</f>
        <v>0</v>
      </c>
      <c r="J127" s="598">
        <f>+ROUND('11. SP Min'!E224,0)</f>
        <v>0</v>
      </c>
      <c r="K127" s="609">
        <f t="shared" si="9"/>
        <v>0</v>
      </c>
      <c r="L127" s="549" t="str">
        <f t="shared" si="8"/>
        <v xml:space="preserve">-    </v>
      </c>
      <c r="M127" s="544"/>
      <c r="Q127" s="556"/>
      <c r="R127" s="556"/>
      <c r="S127" s="556"/>
      <c r="T127" s="556"/>
    </row>
    <row r="128" spans="1:20" s="539" customFormat="1" ht="11.25">
      <c r="A128" s="640"/>
      <c r="B128" s="636" t="s">
        <v>3838</v>
      </c>
      <c r="C128" s="636" t="s">
        <v>3939</v>
      </c>
      <c r="D128" s="532"/>
      <c r="E128" s="532"/>
      <c r="F128" s="541"/>
      <c r="G128" s="534"/>
      <c r="H128" s="167"/>
      <c r="I128" s="542">
        <f>+ROUND('11. SP Min'!D233,0)</f>
        <v>19161980</v>
      </c>
      <c r="J128" s="598">
        <f>+ROUND('11. SP Min'!E233,0)</f>
        <v>2021398</v>
      </c>
      <c r="K128" s="609">
        <f t="shared" si="9"/>
        <v>17140582</v>
      </c>
      <c r="L128" s="549">
        <f t="shared" si="8"/>
        <v>8.4795681008885921</v>
      </c>
      <c r="M128" s="544"/>
      <c r="Q128" s="556"/>
      <c r="R128" s="556"/>
      <c r="S128" s="556"/>
      <c r="T128" s="556"/>
    </row>
    <row r="129" spans="1:20" s="539" customFormat="1" ht="11.25">
      <c r="A129" s="640"/>
      <c r="B129" s="636" t="s">
        <v>3839</v>
      </c>
      <c r="C129" s="636" t="s">
        <v>3940</v>
      </c>
      <c r="D129" s="532"/>
      <c r="E129" s="532"/>
      <c r="F129" s="541"/>
      <c r="G129" s="642"/>
      <c r="H129" s="167"/>
      <c r="I129" s="542">
        <f>+ROUND('11. SP Min'!D239,0)</f>
        <v>2948558</v>
      </c>
      <c r="J129" s="598">
        <f>+ROUND('11. SP Min'!E239,0)</f>
        <v>337485</v>
      </c>
      <c r="K129" s="609">
        <f t="shared" si="9"/>
        <v>2611073</v>
      </c>
      <c r="L129" s="549">
        <f t="shared" si="8"/>
        <v>7.7368564528793868</v>
      </c>
      <c r="M129" s="544"/>
      <c r="Q129" s="556"/>
      <c r="R129" s="556"/>
      <c r="S129" s="556"/>
      <c r="T129" s="556"/>
    </row>
    <row r="130" spans="1:20" s="539" customFormat="1" ht="11.25">
      <c r="A130" s="737" t="s">
        <v>3904</v>
      </c>
      <c r="B130" s="738"/>
      <c r="C130" s="738"/>
      <c r="D130" s="738"/>
      <c r="E130" s="738"/>
      <c r="F130" s="738"/>
      <c r="G130" s="755"/>
      <c r="H130" s="738"/>
      <c r="I130" s="575">
        <f>SUM(I125:I129)</f>
        <v>72214520</v>
      </c>
      <c r="J130" s="575">
        <f>SUM(J125:J129)</f>
        <v>52494191</v>
      </c>
      <c r="K130" s="639">
        <f t="shared" si="9"/>
        <v>19720329</v>
      </c>
      <c r="L130" s="133">
        <f t="shared" si="8"/>
        <v>0.37566688093164441</v>
      </c>
      <c r="M130" s="544"/>
      <c r="Q130" s="556"/>
      <c r="R130" s="556"/>
      <c r="S130" s="556"/>
      <c r="T130" s="556"/>
    </row>
    <row r="131" spans="1:20" s="539" customFormat="1" ht="11.25">
      <c r="A131" s="640" t="s">
        <v>84</v>
      </c>
      <c r="B131" s="636" t="s">
        <v>3941</v>
      </c>
      <c r="C131" s="636"/>
      <c r="D131" s="532"/>
      <c r="E131" s="532"/>
      <c r="F131" s="541"/>
      <c r="G131" s="641"/>
      <c r="H131" s="167"/>
      <c r="I131" s="598"/>
      <c r="J131" s="598"/>
      <c r="K131" s="543">
        <f t="shared" si="9"/>
        <v>0</v>
      </c>
      <c r="L131" s="142" t="str">
        <f t="shared" si="8"/>
        <v xml:space="preserve">-    </v>
      </c>
      <c r="M131" s="544"/>
      <c r="Q131" s="556"/>
      <c r="R131" s="556"/>
      <c r="S131" s="556"/>
      <c r="T131" s="556"/>
    </row>
    <row r="132" spans="1:20" s="539" customFormat="1" ht="11.25">
      <c r="A132" s="640"/>
      <c r="B132" s="636" t="s">
        <v>86</v>
      </c>
      <c r="C132" s="636" t="s">
        <v>3942</v>
      </c>
      <c r="D132" s="532"/>
      <c r="E132" s="532"/>
      <c r="F132" s="541"/>
      <c r="G132" s="534"/>
      <c r="H132" s="167"/>
      <c r="I132" s="598">
        <f>+ROUND('11. SP Min'!D248,0)</f>
        <v>0</v>
      </c>
      <c r="J132" s="598">
        <f>+ROUND('11. SP Min'!E248,0)</f>
        <v>0</v>
      </c>
      <c r="K132" s="609">
        <f t="shared" si="9"/>
        <v>0</v>
      </c>
      <c r="L132" s="549" t="str">
        <f t="shared" si="8"/>
        <v xml:space="preserve">-    </v>
      </c>
      <c r="M132" s="544"/>
      <c r="Q132" s="556"/>
      <c r="R132" s="556"/>
      <c r="S132" s="556"/>
      <c r="T132" s="556"/>
    </row>
    <row r="133" spans="1:20" s="539" customFormat="1" ht="11.25">
      <c r="A133" s="640"/>
      <c r="B133" s="636" t="s">
        <v>88</v>
      </c>
      <c r="C133" s="636" t="s">
        <v>3943</v>
      </c>
      <c r="D133" s="532"/>
      <c r="E133" s="532"/>
      <c r="F133" s="541"/>
      <c r="G133" s="642"/>
      <c r="H133" s="167"/>
      <c r="I133" s="598">
        <f>+ROUND('11. SP Min'!D249+'11. SP Min'!D250,0)</f>
        <v>0</v>
      </c>
      <c r="J133" s="598">
        <f>+ROUND('11. SP Min'!E249+'11. SP Min'!E250,0)</f>
        <v>0</v>
      </c>
      <c r="K133" s="609">
        <f t="shared" si="9"/>
        <v>0</v>
      </c>
      <c r="L133" s="549" t="str">
        <f t="shared" si="8"/>
        <v xml:space="preserve">-    </v>
      </c>
      <c r="M133" s="544"/>
      <c r="Q133" s="556"/>
      <c r="R133" s="556"/>
      <c r="S133" s="556"/>
      <c r="T133" s="556"/>
    </row>
    <row r="134" spans="1:20" s="539" customFormat="1" ht="11.25">
      <c r="A134" s="737" t="s">
        <v>3906</v>
      </c>
      <c r="B134" s="738"/>
      <c r="C134" s="738"/>
      <c r="D134" s="738"/>
      <c r="E134" s="738"/>
      <c r="F134" s="738"/>
      <c r="G134" s="740"/>
      <c r="H134" s="738"/>
      <c r="I134" s="575">
        <f>SUM(I132:I133)</f>
        <v>0</v>
      </c>
      <c r="J134" s="575">
        <f>SUM(J132:J133)</f>
        <v>0</v>
      </c>
      <c r="K134" s="639">
        <f t="shared" si="9"/>
        <v>0</v>
      </c>
      <c r="L134" s="133" t="str">
        <f t="shared" si="8"/>
        <v xml:space="preserve">-    </v>
      </c>
      <c r="M134" s="544"/>
      <c r="Q134" s="556"/>
      <c r="R134" s="556"/>
      <c r="S134" s="556"/>
      <c r="T134" s="556"/>
    </row>
    <row r="135" spans="1:20" s="539" customFormat="1" ht="11.25">
      <c r="A135" s="643" t="s">
        <v>92</v>
      </c>
      <c r="B135" s="155" t="s">
        <v>3944</v>
      </c>
      <c r="C135" s="644"/>
      <c r="D135" s="644"/>
      <c r="E135" s="644"/>
      <c r="F135" s="533"/>
      <c r="G135" s="533"/>
      <c r="H135" s="533"/>
      <c r="I135" s="645"/>
      <c r="J135" s="645"/>
      <c r="K135" s="543">
        <f t="shared" si="9"/>
        <v>0</v>
      </c>
      <c r="L135" s="142" t="str">
        <f t="shared" si="8"/>
        <v xml:space="preserve">-    </v>
      </c>
      <c r="M135" s="544"/>
      <c r="Q135" s="556"/>
      <c r="R135" s="556"/>
      <c r="S135" s="556"/>
      <c r="T135" s="556"/>
    </row>
    <row r="136" spans="1:20" s="539" customFormat="1" ht="11.25">
      <c r="A136" s="530"/>
      <c r="B136" s="532"/>
      <c r="C136" s="532"/>
      <c r="D136" s="532"/>
      <c r="E136" s="532"/>
      <c r="F136" s="155"/>
      <c r="G136" s="646" t="s">
        <v>3850</v>
      </c>
      <c r="H136" s="647" t="s">
        <v>3851</v>
      </c>
      <c r="I136" s="648"/>
      <c r="J136" s="648"/>
      <c r="K136" s="543">
        <f t="shared" si="9"/>
        <v>0</v>
      </c>
      <c r="L136" s="142" t="str">
        <f t="shared" si="8"/>
        <v xml:space="preserve">-    </v>
      </c>
      <c r="M136" s="544"/>
      <c r="Q136" s="556"/>
      <c r="R136" s="556"/>
      <c r="S136" s="556"/>
      <c r="T136" s="556"/>
    </row>
    <row r="137" spans="1:20" s="539" customFormat="1" ht="11.25">
      <c r="A137" s="530"/>
      <c r="B137" s="636" t="s">
        <v>86</v>
      </c>
      <c r="C137" s="155" t="s">
        <v>3945</v>
      </c>
      <c r="D137" s="532"/>
      <c r="E137" s="532"/>
      <c r="F137" s="155"/>
      <c r="G137" s="172"/>
      <c r="H137" s="167"/>
      <c r="I137" s="598">
        <f>+ROUND('11. SP Min'!D252,0)</f>
        <v>0</v>
      </c>
      <c r="J137" s="598">
        <f>+ROUND('11. SP Min'!E252,0)</f>
        <v>0</v>
      </c>
      <c r="K137" s="609">
        <f t="shared" si="9"/>
        <v>0</v>
      </c>
      <c r="L137" s="549" t="str">
        <f t="shared" si="8"/>
        <v xml:space="preserve">-    </v>
      </c>
      <c r="M137" s="544"/>
      <c r="Q137" s="556"/>
      <c r="R137" s="556"/>
      <c r="S137" s="556"/>
      <c r="T137" s="556"/>
    </row>
    <row r="138" spans="1:20" s="539" customFormat="1" ht="11.25">
      <c r="A138" s="530"/>
      <c r="B138" s="636" t="s">
        <v>88</v>
      </c>
      <c r="C138" s="649" t="s">
        <v>3946</v>
      </c>
      <c r="D138" s="532"/>
      <c r="E138" s="532"/>
      <c r="F138" s="533"/>
      <c r="G138" s="172"/>
      <c r="H138" s="172"/>
      <c r="I138" s="598">
        <f>+ROUND('11. SP Min'!D253,0)</f>
        <v>7747</v>
      </c>
      <c r="J138" s="598">
        <f>+ROUND('11. SP Min'!E253,0)</f>
        <v>4829</v>
      </c>
      <c r="K138" s="609">
        <f t="shared" si="9"/>
        <v>2918</v>
      </c>
      <c r="L138" s="549">
        <f t="shared" si="8"/>
        <v>0.60426589355974325</v>
      </c>
      <c r="M138" s="544"/>
      <c r="Q138" s="556"/>
      <c r="R138" s="556"/>
      <c r="S138" s="556"/>
      <c r="T138" s="556"/>
    </row>
    <row r="139" spans="1:20" s="539" customFormat="1" ht="11.25">
      <c r="A139" s="530"/>
      <c r="B139" s="636" t="s">
        <v>116</v>
      </c>
      <c r="C139" s="155" t="s">
        <v>3947</v>
      </c>
      <c r="D139" s="532"/>
      <c r="E139" s="532"/>
      <c r="F139" s="533"/>
      <c r="G139" s="650"/>
      <c r="H139" s="156"/>
      <c r="I139" s="598">
        <f>+ROUND('11. SP Min'!D259,0)</f>
        <v>2020588</v>
      </c>
      <c r="J139" s="598">
        <f>+ROUND('11. SP Min'!E259,0)</f>
        <v>5970554</v>
      </c>
      <c r="K139" s="609">
        <f t="shared" si="9"/>
        <v>-3949966</v>
      </c>
      <c r="L139" s="549">
        <f t="shared" si="8"/>
        <v>-0.66157445355992095</v>
      </c>
      <c r="M139" s="544"/>
      <c r="Q139" s="556"/>
      <c r="R139" s="556"/>
      <c r="S139" s="556"/>
      <c r="T139" s="556"/>
    </row>
    <row r="140" spans="1:20" s="539" customFormat="1" ht="11.25">
      <c r="A140" s="530"/>
      <c r="B140" s="636" t="s">
        <v>3838</v>
      </c>
      <c r="C140" s="649" t="s">
        <v>3948</v>
      </c>
      <c r="D140" s="532"/>
      <c r="E140" s="532"/>
      <c r="F140" s="155"/>
      <c r="G140" s="650"/>
      <c r="H140" s="570"/>
      <c r="I140" s="598">
        <f>+ROUND('11. SP Min'!D270,0)</f>
        <v>0</v>
      </c>
      <c r="J140" s="598">
        <f>+ROUND('11. SP Min'!E270,0)</f>
        <v>0</v>
      </c>
      <c r="K140" s="609">
        <f>+I140-J140</f>
        <v>0</v>
      </c>
      <c r="L140" s="549" t="str">
        <f t="shared" si="8"/>
        <v xml:space="preserve">-    </v>
      </c>
      <c r="M140" s="544"/>
      <c r="Q140" s="556"/>
      <c r="R140" s="556"/>
      <c r="S140" s="556"/>
      <c r="T140" s="556"/>
    </row>
    <row r="141" spans="1:20" s="539" customFormat="1" ht="11.25">
      <c r="A141" s="530"/>
      <c r="B141" s="636" t="s">
        <v>3839</v>
      </c>
      <c r="C141" s="155" t="s">
        <v>3949</v>
      </c>
      <c r="D141" s="532"/>
      <c r="E141" s="532"/>
      <c r="F141" s="533"/>
      <c r="G141" s="650"/>
      <c r="H141" s="156"/>
      <c r="I141" s="651">
        <f>I142+I143+I144+I145+I146+I147</f>
        <v>71858169</v>
      </c>
      <c r="J141" s="633">
        <f>J142+J143+J144+J145+J146+J147</f>
        <v>77647643</v>
      </c>
      <c r="K141" s="609">
        <f t="shared" si="9"/>
        <v>-5789474</v>
      </c>
      <c r="L141" s="549">
        <f t="shared" si="8"/>
        <v>-7.4560846618357754E-2</v>
      </c>
      <c r="M141" s="544"/>
      <c r="Q141" s="556"/>
      <c r="R141" s="556"/>
      <c r="S141" s="556"/>
      <c r="T141" s="556"/>
    </row>
    <row r="142" spans="1:20" s="550" customFormat="1" ht="18" customHeight="1">
      <c r="A142" s="530"/>
      <c r="B142" s="532"/>
      <c r="C142" s="546" t="s">
        <v>3843</v>
      </c>
      <c r="D142" s="741" t="s">
        <v>3950</v>
      </c>
      <c r="E142" s="741"/>
      <c r="F142" s="742"/>
      <c r="G142" s="652"/>
      <c r="H142" s="653"/>
      <c r="I142" s="595">
        <f>+ROUND('11. SP Min'!D273+'11. SP Min'!D276+'11. SP Min'!D277+'11. SP Min'!D280+'11. SP Min'!D281,0)</f>
        <v>0</v>
      </c>
      <c r="J142" s="595">
        <f>+ROUND('11. SP Min'!E273+'11. SP Min'!E276+'11. SP Min'!E277+'11. SP Min'!E280+'11. SP Min'!E281,0)</f>
        <v>0</v>
      </c>
      <c r="K142" s="609">
        <f t="shared" si="9"/>
        <v>0</v>
      </c>
      <c r="L142" s="549" t="str">
        <f t="shared" si="8"/>
        <v xml:space="preserve">-    </v>
      </c>
      <c r="M142" s="544"/>
      <c r="Q142" s="554"/>
      <c r="R142" s="554"/>
      <c r="S142" s="554"/>
      <c r="T142" s="554"/>
    </row>
    <row r="143" spans="1:20" s="550" customFormat="1" ht="22.5" customHeight="1">
      <c r="A143" s="530"/>
      <c r="B143" s="532"/>
      <c r="C143" s="546" t="s">
        <v>3844</v>
      </c>
      <c r="D143" s="741" t="s">
        <v>3951</v>
      </c>
      <c r="E143" s="741"/>
      <c r="F143" s="742"/>
      <c r="G143" s="609"/>
      <c r="H143" s="653"/>
      <c r="I143" s="595">
        <f>+ROUND('11. SP Min'!D274,0)</f>
        <v>0</v>
      </c>
      <c r="J143" s="595">
        <f>+ROUND('11. SP Min'!E274,0)</f>
        <v>0</v>
      </c>
      <c r="K143" s="609">
        <f t="shared" si="9"/>
        <v>0</v>
      </c>
      <c r="L143" s="549" t="str">
        <f t="shared" si="8"/>
        <v xml:space="preserve">-    </v>
      </c>
      <c r="M143" s="544"/>
      <c r="Q143" s="554"/>
      <c r="R143" s="554"/>
      <c r="S143" s="554"/>
      <c r="T143" s="554"/>
    </row>
    <row r="144" spans="1:20" s="550" customFormat="1" ht="22.5" customHeight="1">
      <c r="A144" s="530"/>
      <c r="B144" s="532"/>
      <c r="C144" s="546" t="s">
        <v>3855</v>
      </c>
      <c r="D144" s="741" t="s">
        <v>3952</v>
      </c>
      <c r="E144" s="741"/>
      <c r="F144" s="742"/>
      <c r="G144" s="609"/>
      <c r="H144" s="653"/>
      <c r="I144" s="595">
        <f>+ROUND('11. SP Min'!D275,0)</f>
        <v>0</v>
      </c>
      <c r="J144" s="595">
        <f>+ROUND('11. SP Min'!E275,0)</f>
        <v>0</v>
      </c>
      <c r="K144" s="609">
        <f t="shared" si="9"/>
        <v>0</v>
      </c>
      <c r="L144" s="549" t="str">
        <f t="shared" si="8"/>
        <v xml:space="preserve">-    </v>
      </c>
      <c r="M144" s="544"/>
      <c r="Q144" s="554"/>
      <c r="R144" s="554"/>
      <c r="S144" s="554"/>
      <c r="T144" s="554"/>
    </row>
    <row r="145" spans="1:20" s="550" customFormat="1" ht="11.25">
      <c r="A145" s="530"/>
      <c r="B145" s="532"/>
      <c r="C145" s="546" t="s">
        <v>3856</v>
      </c>
      <c r="D145" s="741" t="s">
        <v>3953</v>
      </c>
      <c r="E145" s="741"/>
      <c r="F145" s="742"/>
      <c r="G145" s="652"/>
      <c r="H145" s="653"/>
      <c r="I145" s="553">
        <f>+ROUND('11. SP Min'!D278+'11. SP Min'!D279,0)</f>
        <v>71600958</v>
      </c>
      <c r="J145" s="595">
        <f>+ROUND('11. SP Min'!E278+'11. SP Min'!E279,0)</f>
        <v>77469260</v>
      </c>
      <c r="K145" s="609">
        <f t="shared" si="9"/>
        <v>-5868302</v>
      </c>
      <c r="L145" s="549">
        <f t="shared" si="8"/>
        <v>-7.5750071705861136E-2</v>
      </c>
      <c r="M145" s="544"/>
      <c r="Q145" s="554"/>
      <c r="R145" s="554"/>
      <c r="S145" s="554"/>
      <c r="T145" s="554"/>
    </row>
    <row r="146" spans="1:20" s="550" customFormat="1" ht="21.6" customHeight="1">
      <c r="A146" s="530"/>
      <c r="B146" s="532"/>
      <c r="C146" s="546" t="s">
        <v>3954</v>
      </c>
      <c r="D146" s="741" t="s">
        <v>3955</v>
      </c>
      <c r="E146" s="741"/>
      <c r="F146" s="742"/>
      <c r="G146" s="652"/>
      <c r="H146" s="653"/>
      <c r="I146" s="595">
        <f>+ROUND('11. SP Min'!D283,0)</f>
        <v>0</v>
      </c>
      <c r="J146" s="595">
        <f>+ROUND('11. SP Min'!E283,0)</f>
        <v>0</v>
      </c>
      <c r="K146" s="609">
        <f t="shared" si="9"/>
        <v>0</v>
      </c>
      <c r="L146" s="549" t="str">
        <f t="shared" si="8"/>
        <v xml:space="preserve">-    </v>
      </c>
      <c r="M146" s="544"/>
      <c r="Q146" s="554"/>
      <c r="R146" s="554"/>
      <c r="S146" s="554"/>
      <c r="T146" s="554"/>
    </row>
    <row r="147" spans="1:20" s="550" customFormat="1" ht="11.25">
      <c r="A147" s="530"/>
      <c r="B147" s="532"/>
      <c r="C147" s="546" t="s">
        <v>3956</v>
      </c>
      <c r="D147" s="741" t="s">
        <v>3957</v>
      </c>
      <c r="E147" s="741"/>
      <c r="F147" s="742"/>
      <c r="G147" s="652"/>
      <c r="H147" s="653"/>
      <c r="I147" s="595">
        <f>+ROUND('11. SP Min'!D282,0)</f>
        <v>257211</v>
      </c>
      <c r="J147" s="595">
        <f>+ROUND('11. SP Min'!E282,0)</f>
        <v>178383</v>
      </c>
      <c r="K147" s="609">
        <f t="shared" si="9"/>
        <v>78828</v>
      </c>
      <c r="L147" s="549">
        <f t="shared" si="8"/>
        <v>0.44190309614705436</v>
      </c>
      <c r="M147" s="544"/>
      <c r="Q147" s="554"/>
      <c r="R147" s="554"/>
      <c r="S147" s="554"/>
      <c r="T147" s="554"/>
    </row>
    <row r="148" spans="1:20" s="539" customFormat="1" ht="11.25">
      <c r="A148" s="530"/>
      <c r="B148" s="636" t="s">
        <v>3846</v>
      </c>
      <c r="C148" s="636" t="s">
        <v>3958</v>
      </c>
      <c r="D148" s="636"/>
      <c r="E148" s="532"/>
      <c r="F148" s="155"/>
      <c r="G148" s="650"/>
      <c r="H148" s="167"/>
      <c r="I148" s="598">
        <f>+ROUND('11. SP Min'!D289,0)</f>
        <v>0</v>
      </c>
      <c r="J148" s="598">
        <f>+ROUND('11. SP Min'!E289,0)</f>
        <v>0</v>
      </c>
      <c r="K148" s="543">
        <f t="shared" si="9"/>
        <v>0</v>
      </c>
      <c r="L148" s="538" t="str">
        <f t="shared" si="8"/>
        <v xml:space="preserve">-    </v>
      </c>
      <c r="M148" s="544"/>
      <c r="Q148" s="556"/>
      <c r="R148" s="556"/>
      <c r="S148" s="556"/>
      <c r="T148" s="556"/>
    </row>
    <row r="149" spans="1:20" s="539" customFormat="1" ht="11.25">
      <c r="A149" s="530"/>
      <c r="B149" s="636" t="s">
        <v>3847</v>
      </c>
      <c r="C149" s="155" t="s">
        <v>3959</v>
      </c>
      <c r="D149" s="636"/>
      <c r="E149" s="532"/>
      <c r="F149" s="155"/>
      <c r="G149" s="650"/>
      <c r="H149" s="166"/>
      <c r="I149" s="542">
        <f>+ROUND('11. SP Min'!D293,0)</f>
        <v>89809618</v>
      </c>
      <c r="J149" s="598">
        <f>+ROUND('11. SP Min'!E293,0)</f>
        <v>52243726</v>
      </c>
      <c r="K149" s="543">
        <f t="shared" si="9"/>
        <v>37565892</v>
      </c>
      <c r="L149" s="538">
        <f t="shared" si="8"/>
        <v>0.71905078133209721</v>
      </c>
      <c r="M149" s="544"/>
      <c r="Q149" s="556"/>
      <c r="R149" s="556"/>
      <c r="S149" s="556"/>
      <c r="T149" s="556"/>
    </row>
    <row r="150" spans="1:20" s="539" customFormat="1" ht="11.25">
      <c r="A150" s="530"/>
      <c r="B150" s="636" t="s">
        <v>3848</v>
      </c>
      <c r="C150" s="155" t="s">
        <v>3960</v>
      </c>
      <c r="D150" s="636"/>
      <c r="E150" s="532"/>
      <c r="F150" s="155"/>
      <c r="G150" s="652"/>
      <c r="H150" s="167"/>
      <c r="I150" s="542">
        <f>+ROUND('11. SP Min'!D300,0)</f>
        <v>0</v>
      </c>
      <c r="J150" s="598">
        <f>+ROUND('11. SP Min'!E300,0)</f>
        <v>0</v>
      </c>
      <c r="K150" s="543">
        <f t="shared" si="9"/>
        <v>0</v>
      </c>
      <c r="L150" s="538" t="str">
        <f t="shared" si="8"/>
        <v xml:space="preserve">-    </v>
      </c>
      <c r="M150" s="544"/>
      <c r="Q150" s="556"/>
      <c r="R150" s="556"/>
      <c r="S150" s="556"/>
      <c r="T150" s="556"/>
    </row>
    <row r="151" spans="1:20" s="539" customFormat="1" ht="11.25">
      <c r="A151" s="530"/>
      <c r="B151" s="636" t="s">
        <v>3849</v>
      </c>
      <c r="C151" s="155" t="s">
        <v>3961</v>
      </c>
      <c r="D151" s="636"/>
      <c r="E151" s="532"/>
      <c r="F151" s="654"/>
      <c r="G151" s="650"/>
      <c r="H151" s="167"/>
      <c r="I151" s="542">
        <f>+ROUND('11. SP Min'!D301,0)</f>
        <v>1679307</v>
      </c>
      <c r="J151" s="598">
        <f>+ROUND('11. SP Min'!E301,0)</f>
        <v>703077</v>
      </c>
      <c r="K151" s="543">
        <f t="shared" si="9"/>
        <v>976230</v>
      </c>
      <c r="L151" s="538">
        <f t="shared" si="8"/>
        <v>1.388510789003196</v>
      </c>
      <c r="M151" s="544"/>
      <c r="Q151" s="556"/>
      <c r="R151" s="556"/>
      <c r="S151" s="556"/>
      <c r="T151" s="556"/>
    </row>
    <row r="152" spans="1:20" s="539" customFormat="1" ht="11.25">
      <c r="A152" s="655"/>
      <c r="B152" s="656" t="s">
        <v>3962</v>
      </c>
      <c r="C152" s="155" t="s">
        <v>3963</v>
      </c>
      <c r="D152" s="656"/>
      <c r="E152" s="518"/>
      <c r="F152" s="654"/>
      <c r="G152" s="652"/>
      <c r="H152" s="163"/>
      <c r="I152" s="542">
        <f>+ROUND('11. SP Min'!D304,0)</f>
        <v>0</v>
      </c>
      <c r="J152" s="598">
        <f>+ROUND('11. SP Min'!E304,0)</f>
        <v>0</v>
      </c>
      <c r="K152" s="543">
        <f t="shared" si="9"/>
        <v>0</v>
      </c>
      <c r="L152" s="538" t="str">
        <f t="shared" si="8"/>
        <v xml:space="preserve">-    </v>
      </c>
      <c r="M152" s="544"/>
      <c r="Q152" s="556"/>
      <c r="R152" s="556"/>
      <c r="S152" s="556"/>
      <c r="T152" s="556"/>
    </row>
    <row r="153" spans="1:20" s="539" customFormat="1" ht="11.25">
      <c r="A153" s="530"/>
      <c r="B153" s="636" t="s">
        <v>3964</v>
      </c>
      <c r="C153" s="155" t="s">
        <v>3965</v>
      </c>
      <c r="D153" s="636"/>
      <c r="E153" s="532"/>
      <c r="F153" s="155"/>
      <c r="G153" s="650"/>
      <c r="H153" s="167"/>
      <c r="I153" s="542">
        <f>+ROUND(+'11. SP Min'!D302,0)</f>
        <v>442347</v>
      </c>
      <c r="J153" s="598">
        <f>+ROUND(+'11. SP Min'!E302,0)</f>
        <v>369660</v>
      </c>
      <c r="K153" s="543">
        <f t="shared" si="9"/>
        <v>72687</v>
      </c>
      <c r="L153" s="538">
        <f t="shared" si="8"/>
        <v>0.19663204025320566</v>
      </c>
      <c r="M153" s="544"/>
      <c r="Q153" s="556"/>
      <c r="R153" s="556"/>
      <c r="S153" s="556"/>
      <c r="T153" s="556"/>
    </row>
    <row r="154" spans="1:20" s="539" customFormat="1" ht="11.25">
      <c r="A154" s="530"/>
      <c r="B154" s="636" t="s">
        <v>3966</v>
      </c>
      <c r="C154" s="155" t="s">
        <v>3967</v>
      </c>
      <c r="D154" s="636"/>
      <c r="E154" s="532"/>
      <c r="F154" s="533"/>
      <c r="G154" s="657"/>
      <c r="H154" s="658"/>
      <c r="I154" s="542">
        <f>+ROUND('11. SP Min'!D307+'11. SP Min'!D305+'11. SP Min'!D306,0)</f>
        <v>4329490</v>
      </c>
      <c r="J154" s="598">
        <f>+ROUND('11. SP Min'!E307+'11. SP Min'!E305+'11. SP Min'!E306,0)</f>
        <v>3503380</v>
      </c>
      <c r="K154" s="543">
        <f t="shared" si="9"/>
        <v>826110</v>
      </c>
      <c r="L154" s="538">
        <f t="shared" si="8"/>
        <v>0.23580370956048161</v>
      </c>
      <c r="M154" s="544"/>
      <c r="Q154" s="556"/>
      <c r="R154" s="556"/>
      <c r="S154" s="556"/>
      <c r="T154" s="556"/>
    </row>
    <row r="155" spans="1:20" s="539" customFormat="1" ht="11.25">
      <c r="A155" s="756" t="s">
        <v>3914</v>
      </c>
      <c r="B155" s="757"/>
      <c r="C155" s="757"/>
      <c r="D155" s="757"/>
      <c r="E155" s="757"/>
      <c r="F155" s="757"/>
      <c r="G155" s="758"/>
      <c r="H155" s="759"/>
      <c r="I155" s="575">
        <f>SUM(I137:I141)+SUM(I148:I154)</f>
        <v>170147266</v>
      </c>
      <c r="J155" s="575">
        <f>SUM(J137:J141)+SUM(J148:J154)</f>
        <v>140442869</v>
      </c>
      <c r="K155" s="639">
        <f t="shared" si="9"/>
        <v>29704397</v>
      </c>
      <c r="L155" s="133">
        <f t="shared" si="8"/>
        <v>0.21150519931346604</v>
      </c>
      <c r="M155" s="544"/>
      <c r="Q155" s="556"/>
      <c r="R155" s="556"/>
      <c r="S155" s="556"/>
      <c r="T155" s="556"/>
    </row>
    <row r="156" spans="1:20" s="539" customFormat="1" ht="11.25">
      <c r="A156" s="640" t="s">
        <v>97</v>
      </c>
      <c r="B156" s="155" t="s">
        <v>3968</v>
      </c>
      <c r="C156" s="636"/>
      <c r="D156" s="636"/>
      <c r="E156" s="532"/>
      <c r="F156" s="533"/>
      <c r="G156" s="641"/>
      <c r="H156" s="167"/>
      <c r="I156" s="633"/>
      <c r="J156" s="633"/>
      <c r="K156" s="543">
        <f t="shared" si="9"/>
        <v>0</v>
      </c>
      <c r="L156" s="142" t="str">
        <f t="shared" si="8"/>
        <v xml:space="preserve">-    </v>
      </c>
      <c r="M156" s="544"/>
      <c r="Q156" s="556"/>
      <c r="R156" s="556"/>
      <c r="S156" s="556"/>
      <c r="T156" s="556"/>
    </row>
    <row r="157" spans="1:20" s="539" customFormat="1" ht="11.25">
      <c r="A157" s="640"/>
      <c r="B157" s="636" t="s">
        <v>86</v>
      </c>
      <c r="C157" s="155" t="s">
        <v>3635</v>
      </c>
      <c r="D157" s="636"/>
      <c r="E157" s="532"/>
      <c r="F157" s="541"/>
      <c r="G157" s="534"/>
      <c r="H157" s="167"/>
      <c r="I157" s="598">
        <f>+ROUND(+'11. SP Min'!D309,0)</f>
        <v>0</v>
      </c>
      <c r="J157" s="598">
        <f>+ROUND(+'11. SP Min'!E309,0)</f>
        <v>0</v>
      </c>
      <c r="K157" s="609">
        <f t="shared" si="9"/>
        <v>0</v>
      </c>
      <c r="L157" s="549" t="str">
        <f t="shared" si="8"/>
        <v xml:space="preserve">-    </v>
      </c>
      <c r="M157" s="544"/>
      <c r="Q157" s="556"/>
      <c r="R157" s="556"/>
      <c r="S157" s="556"/>
      <c r="T157" s="556"/>
    </row>
    <row r="158" spans="1:20" s="539" customFormat="1" ht="11.25">
      <c r="A158" s="640"/>
      <c r="B158" s="636" t="s">
        <v>88</v>
      </c>
      <c r="C158" s="155" t="s">
        <v>3643</v>
      </c>
      <c r="D158" s="636"/>
      <c r="E158" s="532"/>
      <c r="F158" s="533"/>
      <c r="G158" s="642"/>
      <c r="H158" s="167"/>
      <c r="I158" s="598">
        <f>+ROUND(+'11. SP Min'!D312,0)</f>
        <v>0</v>
      </c>
      <c r="J158" s="598">
        <f>+ROUND(+'11. SP Min'!E312,0)</f>
        <v>0</v>
      </c>
      <c r="K158" s="609">
        <f t="shared" si="9"/>
        <v>0</v>
      </c>
      <c r="L158" s="549" t="str">
        <f t="shared" si="8"/>
        <v xml:space="preserve">-    </v>
      </c>
      <c r="M158" s="544"/>
      <c r="Q158" s="556"/>
      <c r="R158" s="556"/>
      <c r="S158" s="556"/>
      <c r="T158" s="556"/>
    </row>
    <row r="159" spans="1:20" s="539" customFormat="1" ht="11.25">
      <c r="A159" s="756" t="s">
        <v>3969</v>
      </c>
      <c r="B159" s="757"/>
      <c r="C159" s="757"/>
      <c r="D159" s="757"/>
      <c r="E159" s="757"/>
      <c r="F159" s="757"/>
      <c r="G159" s="760"/>
      <c r="H159" s="759"/>
      <c r="I159" s="575">
        <f>SUM(I157:I158)</f>
        <v>0</v>
      </c>
      <c r="J159" s="575">
        <f>SUM(J157:J158)</f>
        <v>0</v>
      </c>
      <c r="K159" s="639">
        <f t="shared" si="9"/>
        <v>0</v>
      </c>
      <c r="L159" s="133" t="str">
        <f t="shared" si="8"/>
        <v xml:space="preserve">-    </v>
      </c>
      <c r="M159" s="544"/>
      <c r="Q159" s="556"/>
      <c r="R159" s="556"/>
      <c r="S159" s="556"/>
      <c r="T159" s="556"/>
    </row>
    <row r="160" spans="1:20" s="539" customFormat="1" ht="12" thickBot="1">
      <c r="A160" s="530"/>
      <c r="B160" s="532"/>
      <c r="C160" s="532"/>
      <c r="D160" s="532"/>
      <c r="E160" s="532"/>
      <c r="F160" s="541"/>
      <c r="G160" s="641"/>
      <c r="H160" s="167"/>
      <c r="I160" s="633"/>
      <c r="J160" s="633"/>
      <c r="K160" s="543">
        <f t="shared" si="9"/>
        <v>0</v>
      </c>
      <c r="L160" s="142" t="str">
        <f t="shared" si="8"/>
        <v xml:space="preserve">-    </v>
      </c>
      <c r="M160" s="544"/>
      <c r="Q160" s="556"/>
      <c r="R160" s="556"/>
      <c r="S160" s="556"/>
      <c r="T160" s="556"/>
    </row>
    <row r="161" spans="1:20" s="539" customFormat="1" ht="12" thickBot="1">
      <c r="A161" s="717" t="s">
        <v>3970</v>
      </c>
      <c r="B161" s="718"/>
      <c r="C161" s="718"/>
      <c r="D161" s="718"/>
      <c r="E161" s="718"/>
      <c r="F161" s="718"/>
      <c r="G161" s="718"/>
      <c r="H161" s="761"/>
      <c r="I161" s="610">
        <f>I123+I130+I134+I155+I159</f>
        <v>249702445</v>
      </c>
      <c r="J161" s="610">
        <f>J123+J130+J134+J155+J159</f>
        <v>197485657</v>
      </c>
      <c r="K161" s="659">
        <f t="shared" si="9"/>
        <v>52216788</v>
      </c>
      <c r="L161" s="134">
        <f t="shared" si="8"/>
        <v>0.26440800204543463</v>
      </c>
      <c r="M161" s="544"/>
      <c r="Q161" s="556"/>
      <c r="R161" s="556"/>
      <c r="S161" s="556"/>
      <c r="T161" s="556"/>
    </row>
    <row r="162" spans="1:20" s="539" customFormat="1" ht="11.25">
      <c r="A162" s="640" t="s">
        <v>3971</v>
      </c>
      <c r="B162" s="155" t="s">
        <v>3908</v>
      </c>
      <c r="C162" s="636"/>
      <c r="D162" s="636"/>
      <c r="E162" s="636"/>
      <c r="F162" s="656"/>
      <c r="G162" s="583"/>
      <c r="H162" s="604"/>
      <c r="I162" s="605"/>
      <c r="J162" s="605"/>
      <c r="K162" s="543" t="s">
        <v>2592</v>
      </c>
      <c r="L162" s="142" t="s">
        <v>2592</v>
      </c>
      <c r="M162" s="544"/>
      <c r="Q162" s="556"/>
      <c r="R162" s="556"/>
      <c r="S162" s="556"/>
      <c r="T162" s="556"/>
    </row>
    <row r="163" spans="1:20" s="539" customFormat="1" ht="11.25">
      <c r="A163" s="640"/>
      <c r="B163" s="636" t="s">
        <v>3909</v>
      </c>
      <c r="C163" s="155" t="s">
        <v>3910</v>
      </c>
      <c r="D163" s="636"/>
      <c r="E163" s="636"/>
      <c r="F163" s="541"/>
      <c r="G163" s="583"/>
      <c r="H163" s="604"/>
      <c r="I163" s="598">
        <f>+ROUND(+'11. SP Min'!D318,0)</f>
        <v>0</v>
      </c>
      <c r="J163" s="598">
        <f>+ROUND(+'11. SP Min'!E318,0)</f>
        <v>0</v>
      </c>
      <c r="K163" s="609">
        <f t="shared" si="9"/>
        <v>0</v>
      </c>
      <c r="L163" s="549" t="str">
        <f t="shared" si="8"/>
        <v xml:space="preserve">-    </v>
      </c>
      <c r="M163" s="544"/>
      <c r="Q163" s="556"/>
      <c r="R163" s="556"/>
      <c r="S163" s="556"/>
      <c r="T163" s="556"/>
    </row>
    <row r="164" spans="1:20" s="539" customFormat="1" ht="11.25">
      <c r="A164" s="640"/>
      <c r="B164" s="636" t="s">
        <v>88</v>
      </c>
      <c r="C164" s="541" t="s">
        <v>3911</v>
      </c>
      <c r="D164" s="636"/>
      <c r="E164" s="636"/>
      <c r="F164" s="656"/>
      <c r="G164" s="583"/>
      <c r="H164" s="604"/>
      <c r="I164" s="598">
        <f>+ROUND(+'11. SP Min'!D319,0)</f>
        <v>0</v>
      </c>
      <c r="J164" s="598">
        <f>+ROUND(+'11. SP Min'!E319,0)</f>
        <v>0</v>
      </c>
      <c r="K164" s="609">
        <f t="shared" si="9"/>
        <v>0</v>
      </c>
      <c r="L164" s="549" t="str">
        <f t="shared" si="8"/>
        <v xml:space="preserve">-    </v>
      </c>
      <c r="M164" s="544"/>
      <c r="Q164" s="556"/>
      <c r="R164" s="556"/>
      <c r="S164" s="556"/>
      <c r="T164" s="556"/>
    </row>
    <row r="165" spans="1:20" s="539" customFormat="1" ht="11.25">
      <c r="A165" s="640"/>
      <c r="B165" s="541" t="s">
        <v>116</v>
      </c>
      <c r="C165" s="636" t="s">
        <v>3912</v>
      </c>
      <c r="D165" s="636"/>
      <c r="E165" s="636"/>
      <c r="F165" s="656"/>
      <c r="G165" s="583"/>
      <c r="H165" s="604"/>
      <c r="I165" s="598">
        <f>+ROUND(+'11. SP Min'!D320,0)</f>
        <v>347397</v>
      </c>
      <c r="J165" s="598">
        <f>+ROUND(+'11. SP Min'!E320,0)</f>
        <v>347397</v>
      </c>
      <c r="K165" s="609">
        <f t="shared" si="9"/>
        <v>0</v>
      </c>
      <c r="L165" s="549">
        <f t="shared" si="8"/>
        <v>0</v>
      </c>
      <c r="M165" s="544"/>
      <c r="Q165" s="556"/>
      <c r="R165" s="556"/>
      <c r="S165" s="556"/>
      <c r="T165" s="556"/>
    </row>
    <row r="166" spans="1:20" s="539" customFormat="1" ht="11.25">
      <c r="A166" s="640"/>
      <c r="B166" s="636" t="s">
        <v>3838</v>
      </c>
      <c r="C166" s="155" t="s">
        <v>3913</v>
      </c>
      <c r="D166" s="636"/>
      <c r="E166" s="636"/>
      <c r="F166" s="541"/>
      <c r="G166" s="606"/>
      <c r="H166" s="604"/>
      <c r="I166" s="598">
        <f>+ROUND(+'11. SP Min'!D321+'11. SP Min'!D322,0)</f>
        <v>0</v>
      </c>
      <c r="J166" s="598">
        <f>+ROUND(+'11. SP Min'!E321+'11. SP Min'!E322,0)</f>
        <v>0</v>
      </c>
      <c r="K166" s="609">
        <f t="shared" si="9"/>
        <v>0</v>
      </c>
      <c r="L166" s="549" t="str">
        <f t="shared" si="8"/>
        <v xml:space="preserve">-    </v>
      </c>
      <c r="M166" s="544"/>
      <c r="Q166" s="556"/>
      <c r="R166" s="556"/>
      <c r="S166" s="556"/>
      <c r="T166" s="556"/>
    </row>
    <row r="167" spans="1:20" s="539" customFormat="1" ht="12" thickBot="1">
      <c r="A167" s="743" t="s">
        <v>3972</v>
      </c>
      <c r="B167" s="744"/>
      <c r="C167" s="744"/>
      <c r="D167" s="744"/>
      <c r="E167" s="744"/>
      <c r="F167" s="744"/>
      <c r="G167" s="745"/>
      <c r="H167" s="746"/>
      <c r="I167" s="613">
        <f>SUM(I163:I166)</f>
        <v>347397</v>
      </c>
      <c r="J167" s="613">
        <f>SUM(J163:J166)</f>
        <v>347397</v>
      </c>
      <c r="K167" s="614">
        <f t="shared" si="9"/>
        <v>0</v>
      </c>
      <c r="L167" s="615">
        <f t="shared" si="8"/>
        <v>0</v>
      </c>
      <c r="M167" s="544"/>
      <c r="Q167" s="556"/>
      <c r="R167" s="556"/>
      <c r="S167" s="556"/>
      <c r="T167" s="556"/>
    </row>
    <row r="168" spans="1:20" s="550" customFormat="1" ht="11.25">
      <c r="A168" s="660"/>
      <c r="B168" s="660"/>
      <c r="C168" s="660"/>
      <c r="D168" s="660"/>
      <c r="E168" s="660"/>
      <c r="I168" s="661"/>
      <c r="J168" s="661"/>
      <c r="K168" s="662"/>
      <c r="L168" s="663"/>
    </row>
    <row r="169" spans="1:20" s="550" customFormat="1" ht="11.25">
      <c r="A169" s="660"/>
      <c r="B169" s="660"/>
      <c r="C169" s="660"/>
      <c r="D169" s="660"/>
      <c r="E169" s="660"/>
      <c r="F169" s="664" t="s">
        <v>2592</v>
      </c>
      <c r="I169" s="661">
        <f>+I161-I92</f>
        <v>0</v>
      </c>
      <c r="J169" s="661"/>
      <c r="K169" s="662"/>
      <c r="L169" s="663"/>
    </row>
    <row r="170" spans="1:20" s="550" customFormat="1" ht="11.25">
      <c r="A170" s="660"/>
      <c r="B170" s="660"/>
      <c r="C170" s="660"/>
      <c r="D170" s="660"/>
      <c r="E170" s="660"/>
      <c r="I170" s="661"/>
      <c r="J170" s="661"/>
      <c r="K170" s="662"/>
      <c r="L170" s="663"/>
    </row>
    <row r="171" spans="1:20" s="550" customFormat="1" ht="11.25">
      <c r="A171" s="660"/>
      <c r="B171" s="660"/>
      <c r="C171" s="660"/>
      <c r="D171" s="660"/>
      <c r="E171" s="660"/>
      <c r="I171" s="661"/>
      <c r="J171" s="661"/>
      <c r="K171" s="662"/>
      <c r="L171" s="663"/>
    </row>
    <row r="172" spans="1:20" s="550" customFormat="1" ht="11.25">
      <c r="A172" s="660"/>
      <c r="B172" s="660"/>
      <c r="C172" s="660"/>
      <c r="D172" s="660"/>
      <c r="E172" s="660"/>
      <c r="I172" s="661"/>
      <c r="J172" s="661"/>
      <c r="K172" s="662"/>
      <c r="L172" s="663"/>
    </row>
    <row r="173" spans="1:20" s="550" customFormat="1" ht="11.25">
      <c r="A173" s="660"/>
      <c r="B173" s="660"/>
      <c r="C173" s="660"/>
      <c r="D173" s="660"/>
      <c r="E173" s="660"/>
      <c r="I173" s="661"/>
      <c r="J173" s="661"/>
      <c r="K173" s="662"/>
      <c r="L173" s="663"/>
    </row>
    <row r="174" spans="1:20" s="550" customFormat="1" ht="11.25">
      <c r="A174" s="660"/>
      <c r="B174" s="660"/>
      <c r="C174" s="660"/>
      <c r="D174" s="660"/>
      <c r="E174" s="660"/>
      <c r="I174" s="661"/>
      <c r="J174" s="661"/>
      <c r="K174" s="662"/>
      <c r="L174" s="663"/>
    </row>
    <row r="175" spans="1:20" s="550" customFormat="1" ht="11.25">
      <c r="A175" s="660"/>
      <c r="B175" s="660"/>
      <c r="C175" s="660"/>
      <c r="D175" s="660"/>
      <c r="E175" s="660"/>
      <c r="I175" s="661"/>
      <c r="J175" s="661"/>
      <c r="K175" s="662"/>
      <c r="L175" s="663"/>
    </row>
    <row r="176" spans="1:20" s="550" customFormat="1" ht="11.25">
      <c r="A176" s="660"/>
      <c r="B176" s="660"/>
      <c r="C176" s="660"/>
      <c r="D176" s="660"/>
      <c r="E176" s="660"/>
      <c r="I176" s="661"/>
      <c r="J176" s="661"/>
      <c r="K176" s="662"/>
      <c r="L176" s="663"/>
    </row>
    <row r="177" spans="1:12" s="550" customFormat="1" ht="11.25">
      <c r="A177" s="660"/>
      <c r="B177" s="660"/>
      <c r="C177" s="660"/>
      <c r="D177" s="660"/>
      <c r="E177" s="660"/>
      <c r="I177" s="661"/>
      <c r="J177" s="661"/>
      <c r="K177" s="662"/>
      <c r="L177" s="663"/>
    </row>
    <row r="178" spans="1:12" s="550" customFormat="1" ht="11.25">
      <c r="A178" s="660"/>
      <c r="B178" s="660"/>
      <c r="C178" s="660"/>
      <c r="D178" s="660"/>
      <c r="E178" s="660"/>
      <c r="I178" s="661"/>
      <c r="J178" s="661"/>
      <c r="K178" s="662"/>
      <c r="L178" s="663"/>
    </row>
    <row r="179" spans="1:12" s="550" customFormat="1" ht="11.25">
      <c r="A179" s="660"/>
      <c r="B179" s="660"/>
      <c r="C179" s="660"/>
      <c r="D179" s="660"/>
      <c r="E179" s="660"/>
      <c r="I179" s="661"/>
      <c r="J179" s="661"/>
      <c r="K179" s="662"/>
      <c r="L179" s="663"/>
    </row>
    <row r="180" spans="1:12" s="550" customFormat="1" ht="11.25">
      <c r="A180" s="660"/>
      <c r="B180" s="660"/>
      <c r="C180" s="660"/>
      <c r="D180" s="660"/>
      <c r="E180" s="660"/>
      <c r="I180" s="661"/>
      <c r="J180" s="661"/>
      <c r="K180" s="662"/>
      <c r="L180" s="663"/>
    </row>
    <row r="181" spans="1:12" s="550" customFormat="1" ht="11.25">
      <c r="A181" s="660"/>
      <c r="B181" s="660"/>
      <c r="C181" s="660"/>
      <c r="D181" s="660"/>
      <c r="E181" s="660"/>
      <c r="I181" s="661"/>
      <c r="J181" s="661"/>
      <c r="K181" s="662"/>
      <c r="L181" s="663"/>
    </row>
    <row r="182" spans="1:12" s="550" customFormat="1" ht="11.25">
      <c r="A182" s="660"/>
      <c r="B182" s="660"/>
      <c r="C182" s="660"/>
      <c r="D182" s="660"/>
      <c r="E182" s="660"/>
      <c r="I182" s="661"/>
      <c r="J182" s="661"/>
      <c r="K182" s="662"/>
      <c r="L182" s="663"/>
    </row>
    <row r="183" spans="1:12" s="550" customFormat="1" ht="11.25">
      <c r="A183" s="660"/>
      <c r="B183" s="660"/>
      <c r="C183" s="660"/>
      <c r="D183" s="660"/>
      <c r="E183" s="660"/>
      <c r="I183" s="661"/>
      <c r="J183" s="661"/>
      <c r="K183" s="662"/>
      <c r="L183" s="663"/>
    </row>
    <row r="184" spans="1:12" s="550" customFormat="1" ht="11.25">
      <c r="A184" s="660"/>
      <c r="B184" s="660"/>
      <c r="C184" s="660"/>
      <c r="D184" s="660"/>
      <c r="E184" s="660"/>
      <c r="I184" s="661"/>
      <c r="J184" s="661"/>
      <c r="K184" s="662"/>
      <c r="L184" s="663"/>
    </row>
    <row r="185" spans="1:12" s="550" customFormat="1" ht="11.25">
      <c r="A185" s="660"/>
      <c r="B185" s="660"/>
      <c r="C185" s="660"/>
      <c r="D185" s="660"/>
      <c r="E185" s="660"/>
      <c r="I185" s="661"/>
      <c r="J185" s="661"/>
      <c r="K185" s="662"/>
      <c r="L185" s="663"/>
    </row>
    <row r="186" spans="1:12" s="550" customFormat="1" ht="11.25">
      <c r="A186" s="660"/>
      <c r="B186" s="660"/>
      <c r="C186" s="660"/>
      <c r="D186" s="660"/>
      <c r="E186" s="660"/>
      <c r="I186" s="661"/>
      <c r="J186" s="661"/>
      <c r="K186" s="662"/>
      <c r="L186" s="663"/>
    </row>
    <row r="187" spans="1:12" s="550" customFormat="1" ht="11.25">
      <c r="A187" s="660"/>
      <c r="B187" s="660"/>
      <c r="C187" s="660"/>
      <c r="D187" s="660"/>
      <c r="E187" s="660"/>
      <c r="I187" s="661"/>
      <c r="J187" s="661"/>
      <c r="K187" s="662"/>
      <c r="L187" s="663"/>
    </row>
    <row r="188" spans="1:12" s="550" customFormat="1" ht="11.25">
      <c r="A188" s="660"/>
      <c r="B188" s="660"/>
      <c r="C188" s="660"/>
      <c r="D188" s="660"/>
      <c r="E188" s="660"/>
      <c r="I188" s="661"/>
      <c r="J188" s="661"/>
      <c r="K188" s="662"/>
      <c r="L188" s="663"/>
    </row>
    <row r="189" spans="1:12" s="550" customFormat="1" ht="11.25">
      <c r="A189" s="660"/>
      <c r="B189" s="660"/>
      <c r="C189" s="660"/>
      <c r="D189" s="660"/>
      <c r="E189" s="660"/>
      <c r="I189" s="661"/>
      <c r="J189" s="661"/>
      <c r="K189" s="662"/>
      <c r="L189" s="663"/>
    </row>
    <row r="190" spans="1:12" s="550" customFormat="1" ht="11.25">
      <c r="A190" s="660"/>
      <c r="B190" s="660"/>
      <c r="C190" s="660"/>
      <c r="D190" s="660"/>
      <c r="E190" s="660"/>
      <c r="I190" s="661"/>
      <c r="J190" s="661"/>
      <c r="K190" s="662"/>
      <c r="L190" s="663"/>
    </row>
    <row r="191" spans="1:12" s="550" customFormat="1" ht="11.25">
      <c r="A191" s="660"/>
      <c r="B191" s="660"/>
      <c r="C191" s="660"/>
      <c r="D191" s="660"/>
      <c r="E191" s="660"/>
      <c r="I191" s="661"/>
      <c r="J191" s="661"/>
      <c r="K191" s="662"/>
      <c r="L191" s="663"/>
    </row>
    <row r="192" spans="1:12" s="550" customFormat="1" ht="11.25">
      <c r="A192" s="660"/>
      <c r="B192" s="660"/>
      <c r="C192" s="660"/>
      <c r="D192" s="660"/>
      <c r="E192" s="660"/>
      <c r="I192" s="661"/>
      <c r="J192" s="661"/>
      <c r="K192" s="662"/>
      <c r="L192" s="663"/>
    </row>
    <row r="193" spans="1:12" s="550" customFormat="1" ht="11.25">
      <c r="A193" s="660"/>
      <c r="B193" s="660"/>
      <c r="C193" s="660"/>
      <c r="D193" s="660"/>
      <c r="E193" s="660"/>
      <c r="I193" s="661"/>
      <c r="J193" s="661"/>
      <c r="K193" s="662"/>
      <c r="L193" s="663"/>
    </row>
    <row r="194" spans="1:12" s="550" customFormat="1" ht="11.25">
      <c r="A194" s="660"/>
      <c r="B194" s="660"/>
      <c r="C194" s="660"/>
      <c r="D194" s="660"/>
      <c r="E194" s="660"/>
      <c r="I194" s="661"/>
      <c r="J194" s="661"/>
      <c r="K194" s="662"/>
      <c r="L194" s="663"/>
    </row>
    <row r="195" spans="1:12" s="550" customFormat="1" ht="11.25">
      <c r="A195" s="660"/>
      <c r="B195" s="660"/>
      <c r="C195" s="660"/>
      <c r="D195" s="660"/>
      <c r="E195" s="660"/>
      <c r="I195" s="661"/>
      <c r="J195" s="661"/>
      <c r="K195" s="662"/>
      <c r="L195" s="663"/>
    </row>
    <row r="196" spans="1:12" s="550" customFormat="1" ht="11.25">
      <c r="A196" s="660"/>
      <c r="B196" s="660"/>
      <c r="C196" s="660"/>
      <c r="D196" s="660"/>
      <c r="E196" s="660"/>
      <c r="I196" s="661"/>
      <c r="J196" s="661"/>
      <c r="K196" s="662"/>
      <c r="L196" s="663"/>
    </row>
    <row r="197" spans="1:12" s="550" customFormat="1" ht="11.25">
      <c r="A197" s="660"/>
      <c r="B197" s="660"/>
      <c r="C197" s="660"/>
      <c r="D197" s="660"/>
      <c r="E197" s="660"/>
      <c r="I197" s="661"/>
      <c r="J197" s="661"/>
      <c r="K197" s="662"/>
      <c r="L197" s="663"/>
    </row>
    <row r="198" spans="1:12" s="550" customFormat="1" ht="11.25">
      <c r="A198" s="660"/>
      <c r="B198" s="660"/>
      <c r="C198" s="660"/>
      <c r="D198" s="660"/>
      <c r="E198" s="660"/>
      <c r="I198" s="661"/>
      <c r="J198" s="661"/>
      <c r="K198" s="662"/>
      <c r="L198" s="663"/>
    </row>
    <row r="199" spans="1:12" s="550" customFormat="1" ht="11.25">
      <c r="A199" s="660"/>
      <c r="B199" s="660"/>
      <c r="C199" s="660"/>
      <c r="D199" s="660"/>
      <c r="E199" s="660"/>
      <c r="I199" s="661"/>
      <c r="J199" s="661"/>
      <c r="K199" s="662"/>
      <c r="L199" s="663"/>
    </row>
    <row r="200" spans="1:12" s="550" customFormat="1" ht="11.25">
      <c r="A200" s="660"/>
      <c r="B200" s="660"/>
      <c r="C200" s="660"/>
      <c r="D200" s="660"/>
      <c r="E200" s="660"/>
      <c r="I200" s="661"/>
      <c r="J200" s="661"/>
      <c r="K200" s="662"/>
      <c r="L200" s="663"/>
    </row>
    <row r="201" spans="1:12" s="550" customFormat="1" ht="11.25">
      <c r="A201" s="660"/>
      <c r="B201" s="660"/>
      <c r="C201" s="660"/>
      <c r="D201" s="660"/>
      <c r="E201" s="660"/>
      <c r="I201" s="661"/>
      <c r="J201" s="661"/>
      <c r="K201" s="662"/>
      <c r="L201" s="663"/>
    </row>
    <row r="202" spans="1:12" s="550" customFormat="1" ht="11.25">
      <c r="A202" s="660"/>
      <c r="B202" s="660"/>
      <c r="C202" s="660"/>
      <c r="D202" s="660"/>
      <c r="E202" s="660"/>
      <c r="I202" s="661"/>
      <c r="J202" s="661"/>
      <c r="K202" s="662"/>
      <c r="L202" s="663"/>
    </row>
    <row r="203" spans="1:12" s="550" customFormat="1" ht="11.25">
      <c r="A203" s="660"/>
      <c r="B203" s="660"/>
      <c r="C203" s="660"/>
      <c r="D203" s="660"/>
      <c r="E203" s="660"/>
      <c r="I203" s="661"/>
      <c r="J203" s="661"/>
      <c r="K203" s="662"/>
      <c r="L203" s="663"/>
    </row>
    <row r="204" spans="1:12" s="550" customFormat="1" ht="11.25">
      <c r="A204" s="660"/>
      <c r="B204" s="660"/>
      <c r="C204" s="660"/>
      <c r="D204" s="660"/>
      <c r="E204" s="660"/>
      <c r="I204" s="661"/>
      <c r="J204" s="661"/>
      <c r="K204" s="662"/>
      <c r="L204" s="663"/>
    </row>
    <row r="205" spans="1:12" s="550" customFormat="1" ht="11.25">
      <c r="A205" s="660"/>
      <c r="B205" s="660"/>
      <c r="C205" s="660"/>
      <c r="D205" s="660"/>
      <c r="E205" s="660"/>
      <c r="I205" s="661"/>
      <c r="J205" s="661"/>
      <c r="K205" s="662"/>
      <c r="L205" s="663"/>
    </row>
    <row r="206" spans="1:12" s="550" customFormat="1" ht="11.25">
      <c r="A206" s="660"/>
      <c r="B206" s="660"/>
      <c r="C206" s="660"/>
      <c r="D206" s="660"/>
      <c r="E206" s="660"/>
      <c r="I206" s="661"/>
      <c r="J206" s="661"/>
      <c r="K206" s="662"/>
      <c r="L206" s="663"/>
    </row>
    <row r="207" spans="1:12" s="550" customFormat="1" ht="11.25">
      <c r="A207" s="660"/>
      <c r="B207" s="660"/>
      <c r="C207" s="660"/>
      <c r="D207" s="660"/>
      <c r="E207" s="660"/>
      <c r="I207" s="661"/>
      <c r="J207" s="661"/>
      <c r="K207" s="662"/>
      <c r="L207" s="663"/>
    </row>
    <row r="208" spans="1:12" s="550" customFormat="1" ht="11.25">
      <c r="A208" s="660"/>
      <c r="B208" s="660"/>
      <c r="C208" s="660"/>
      <c r="D208" s="660"/>
      <c r="E208" s="660"/>
      <c r="I208" s="661"/>
      <c r="J208" s="661"/>
      <c r="K208" s="662"/>
      <c r="L208" s="663"/>
    </row>
    <row r="209" spans="1:12" s="550" customFormat="1" ht="11.25">
      <c r="A209" s="660"/>
      <c r="B209" s="660"/>
      <c r="C209" s="660"/>
      <c r="D209" s="660"/>
      <c r="E209" s="660"/>
      <c r="I209" s="661"/>
      <c r="J209" s="661"/>
      <c r="K209" s="662"/>
      <c r="L209" s="663"/>
    </row>
    <row r="210" spans="1:12" s="550" customFormat="1" ht="11.25">
      <c r="A210" s="660"/>
      <c r="B210" s="660"/>
      <c r="C210" s="660"/>
      <c r="D210" s="660"/>
      <c r="E210" s="660"/>
      <c r="I210" s="661"/>
      <c r="J210" s="661"/>
      <c r="K210" s="662"/>
      <c r="L210" s="663"/>
    </row>
    <row r="211" spans="1:12" s="550" customFormat="1" ht="11.25">
      <c r="A211" s="660"/>
      <c r="B211" s="660"/>
      <c r="C211" s="660"/>
      <c r="D211" s="660"/>
      <c r="E211" s="660"/>
      <c r="I211" s="661"/>
      <c r="J211" s="661"/>
      <c r="K211" s="662"/>
      <c r="L211" s="663"/>
    </row>
    <row r="212" spans="1:12" s="550" customFormat="1" ht="11.25">
      <c r="A212" s="660"/>
      <c r="B212" s="660"/>
      <c r="C212" s="660"/>
      <c r="D212" s="660"/>
      <c r="E212" s="660"/>
      <c r="I212" s="661"/>
      <c r="J212" s="661"/>
      <c r="K212" s="662"/>
      <c r="L212" s="663"/>
    </row>
    <row r="213" spans="1:12" s="550" customFormat="1" ht="11.25">
      <c r="A213" s="660"/>
      <c r="B213" s="660"/>
      <c r="C213" s="660"/>
      <c r="D213" s="660"/>
      <c r="E213" s="660"/>
      <c r="I213" s="661"/>
      <c r="J213" s="661"/>
      <c r="K213" s="662"/>
      <c r="L213" s="663"/>
    </row>
    <row r="214" spans="1:12" s="550" customFormat="1" ht="11.25">
      <c r="A214" s="660"/>
      <c r="B214" s="660"/>
      <c r="C214" s="660"/>
      <c r="D214" s="660"/>
      <c r="E214" s="660"/>
      <c r="I214" s="661"/>
      <c r="J214" s="661"/>
      <c r="K214" s="662"/>
      <c r="L214" s="663"/>
    </row>
    <row r="215" spans="1:12" s="550" customFormat="1" ht="11.25">
      <c r="A215" s="660"/>
      <c r="B215" s="660"/>
      <c r="C215" s="660"/>
      <c r="D215" s="660"/>
      <c r="E215" s="660"/>
      <c r="I215" s="661"/>
      <c r="J215" s="661"/>
      <c r="K215" s="662"/>
      <c r="L215" s="663"/>
    </row>
    <row r="216" spans="1:12" s="550" customFormat="1" ht="11.25">
      <c r="A216" s="660"/>
      <c r="B216" s="660"/>
      <c r="C216" s="660"/>
      <c r="D216" s="660"/>
      <c r="E216" s="660"/>
      <c r="I216" s="661"/>
      <c r="J216" s="661"/>
      <c r="K216" s="662"/>
      <c r="L216" s="663"/>
    </row>
    <row r="224" spans="1:12" s="550" customFormat="1">
      <c r="A224" s="665"/>
      <c r="B224" s="665"/>
      <c r="C224" s="665"/>
      <c r="D224" s="665"/>
      <c r="E224" s="665"/>
      <c r="F224" s="512"/>
      <c r="I224" s="661"/>
      <c r="J224" s="661"/>
      <c r="K224" s="662"/>
      <c r="L224" s="663"/>
    </row>
    <row r="225" spans="1:12" s="550" customFormat="1">
      <c r="A225" s="665"/>
      <c r="B225" s="665"/>
      <c r="C225" s="665"/>
      <c r="D225" s="665"/>
      <c r="E225" s="665"/>
      <c r="F225" s="512"/>
      <c r="I225" s="661"/>
      <c r="J225" s="661"/>
      <c r="K225" s="662"/>
      <c r="L225" s="663"/>
    </row>
    <row r="226" spans="1:12" s="550" customFormat="1">
      <c r="A226" s="665"/>
      <c r="B226" s="665"/>
      <c r="C226" s="665"/>
      <c r="D226" s="665"/>
      <c r="E226" s="665"/>
      <c r="F226" s="512"/>
      <c r="I226" s="661"/>
      <c r="J226" s="661"/>
      <c r="K226" s="662"/>
      <c r="L226" s="663"/>
    </row>
    <row r="227" spans="1:12" s="550" customFormat="1">
      <c r="A227" s="665"/>
      <c r="B227" s="665"/>
      <c r="C227" s="665"/>
      <c r="D227" s="665"/>
      <c r="E227" s="665"/>
      <c r="F227" s="512"/>
      <c r="I227" s="661"/>
      <c r="J227" s="661"/>
      <c r="K227" s="662"/>
      <c r="L227" s="663"/>
    </row>
    <row r="228" spans="1:12" s="550" customFormat="1">
      <c r="A228" s="665"/>
      <c r="B228" s="665"/>
      <c r="C228" s="665"/>
      <c r="D228" s="665"/>
      <c r="E228" s="665"/>
      <c r="F228" s="512"/>
      <c r="I228" s="661"/>
      <c r="J228" s="661"/>
      <c r="K228" s="662"/>
      <c r="L228" s="663"/>
    </row>
    <row r="229" spans="1:12" s="550" customFormat="1">
      <c r="A229" s="665"/>
      <c r="B229" s="665"/>
      <c r="C229" s="665"/>
      <c r="D229" s="665"/>
      <c r="E229" s="665"/>
      <c r="F229" s="512"/>
      <c r="I229" s="661"/>
      <c r="J229" s="661"/>
      <c r="K229" s="662"/>
      <c r="L229" s="663"/>
    </row>
    <row r="230" spans="1:12" s="550" customFormat="1">
      <c r="A230" s="665"/>
      <c r="B230" s="665"/>
      <c r="C230" s="665"/>
      <c r="D230" s="665"/>
      <c r="E230" s="665"/>
      <c r="F230" s="512"/>
      <c r="I230" s="661"/>
      <c r="J230" s="661"/>
      <c r="K230" s="662"/>
      <c r="L230" s="663"/>
    </row>
    <row r="231" spans="1:12" s="550" customFormat="1">
      <c r="A231" s="665"/>
      <c r="B231" s="665"/>
      <c r="C231" s="665"/>
      <c r="D231" s="665"/>
      <c r="E231" s="665"/>
      <c r="F231" s="512"/>
      <c r="I231" s="661"/>
      <c r="J231" s="661"/>
      <c r="K231" s="662"/>
      <c r="L231" s="663"/>
    </row>
    <row r="232" spans="1:12" s="550" customFormat="1">
      <c r="A232" s="665"/>
      <c r="B232" s="665"/>
      <c r="C232" s="665"/>
      <c r="D232" s="665"/>
      <c r="E232" s="665"/>
      <c r="F232" s="512"/>
      <c r="I232" s="661"/>
      <c r="J232" s="661"/>
      <c r="K232" s="662"/>
      <c r="L232" s="663"/>
    </row>
    <row r="233" spans="1:12" s="550" customFormat="1">
      <c r="A233" s="665"/>
      <c r="B233" s="665"/>
      <c r="C233" s="665"/>
      <c r="D233" s="665"/>
      <c r="E233" s="665"/>
      <c r="F233" s="512"/>
      <c r="I233" s="661"/>
      <c r="J233" s="661"/>
      <c r="K233" s="662"/>
      <c r="L233" s="663"/>
    </row>
    <row r="234" spans="1:12" s="550" customFormat="1">
      <c r="A234" s="665"/>
      <c r="B234" s="665"/>
      <c r="C234" s="665"/>
      <c r="D234" s="665"/>
      <c r="E234" s="665"/>
      <c r="F234" s="512"/>
      <c r="I234" s="661"/>
      <c r="J234" s="661"/>
      <c r="K234" s="662"/>
      <c r="L234" s="663"/>
    </row>
    <row r="235" spans="1:12" s="550" customFormat="1">
      <c r="A235" s="665"/>
      <c r="B235" s="665"/>
      <c r="C235" s="665"/>
      <c r="D235" s="665"/>
      <c r="E235" s="665"/>
      <c r="F235" s="512"/>
      <c r="I235" s="661"/>
      <c r="J235" s="661"/>
      <c r="K235" s="662"/>
      <c r="L235" s="663"/>
    </row>
    <row r="236" spans="1:12" s="550" customFormat="1">
      <c r="A236" s="665"/>
      <c r="B236" s="665"/>
      <c r="C236" s="665"/>
      <c r="D236" s="665"/>
      <c r="E236" s="665"/>
      <c r="F236" s="512"/>
      <c r="I236" s="661"/>
      <c r="J236" s="661"/>
      <c r="K236" s="662"/>
      <c r="L236" s="663"/>
    </row>
    <row r="237" spans="1:12" s="550" customFormat="1">
      <c r="A237" s="665"/>
      <c r="B237" s="665"/>
      <c r="C237" s="665"/>
      <c r="D237" s="665"/>
      <c r="E237" s="665"/>
      <c r="F237" s="512"/>
      <c r="I237" s="661"/>
      <c r="J237" s="661"/>
      <c r="K237" s="662"/>
      <c r="L237" s="663"/>
    </row>
    <row r="238" spans="1:12" s="550" customFormat="1">
      <c r="A238" s="665"/>
      <c r="B238" s="665"/>
      <c r="C238" s="665"/>
      <c r="D238" s="665"/>
      <c r="E238" s="665"/>
      <c r="F238" s="512"/>
      <c r="I238" s="661"/>
      <c r="J238" s="661"/>
      <c r="K238" s="662"/>
      <c r="L238" s="663"/>
    </row>
    <row r="239" spans="1:12" s="550" customFormat="1">
      <c r="A239" s="665"/>
      <c r="B239" s="665"/>
      <c r="C239" s="665"/>
      <c r="D239" s="665"/>
      <c r="E239" s="665"/>
      <c r="F239" s="512"/>
      <c r="I239" s="661"/>
      <c r="J239" s="661"/>
      <c r="K239" s="662"/>
      <c r="L239" s="663"/>
    </row>
    <row r="240" spans="1:12" s="550" customFormat="1">
      <c r="A240" s="665"/>
      <c r="B240" s="665"/>
      <c r="C240" s="665"/>
      <c r="D240" s="665"/>
      <c r="E240" s="665"/>
      <c r="F240" s="512"/>
      <c r="I240" s="661"/>
      <c r="J240" s="661"/>
      <c r="K240" s="662"/>
      <c r="L240" s="663"/>
    </row>
    <row r="241" spans="1:12" s="550" customFormat="1">
      <c r="A241" s="665"/>
      <c r="B241" s="665"/>
      <c r="C241" s="665"/>
      <c r="D241" s="665"/>
      <c r="E241" s="665"/>
      <c r="F241" s="512"/>
      <c r="I241" s="661"/>
      <c r="J241" s="661"/>
      <c r="K241" s="662"/>
      <c r="L241" s="663"/>
    </row>
    <row r="242" spans="1:12" s="550" customFormat="1">
      <c r="A242" s="665"/>
      <c r="B242" s="665"/>
      <c r="C242" s="665"/>
      <c r="D242" s="665"/>
      <c r="E242" s="665"/>
      <c r="F242" s="512"/>
      <c r="I242" s="661"/>
      <c r="J242" s="661"/>
      <c r="K242" s="662"/>
      <c r="L242" s="663"/>
    </row>
    <row r="243" spans="1:12" s="550" customFormat="1">
      <c r="A243" s="665"/>
      <c r="B243" s="665"/>
      <c r="C243" s="665"/>
      <c r="D243" s="665"/>
      <c r="E243" s="665"/>
      <c r="F243" s="512"/>
      <c r="I243" s="661"/>
      <c r="J243" s="661"/>
      <c r="K243" s="662"/>
      <c r="L243" s="663"/>
    </row>
    <row r="244" spans="1:12" s="550" customFormat="1">
      <c r="A244" s="665"/>
      <c r="B244" s="665"/>
      <c r="C244" s="665"/>
      <c r="D244" s="665"/>
      <c r="E244" s="665"/>
      <c r="F244" s="512"/>
      <c r="I244" s="661"/>
      <c r="J244" s="661"/>
      <c r="K244" s="662"/>
      <c r="L244" s="663"/>
    </row>
    <row r="245" spans="1:12" s="550" customFormat="1">
      <c r="A245" s="665"/>
      <c r="B245" s="665"/>
      <c r="C245" s="665"/>
      <c r="D245" s="665"/>
      <c r="E245" s="665"/>
      <c r="F245" s="512"/>
      <c r="I245" s="661"/>
      <c r="J245" s="661"/>
      <c r="K245" s="662"/>
      <c r="L245" s="663"/>
    </row>
    <row r="246" spans="1:12" s="550" customFormat="1">
      <c r="A246" s="665"/>
      <c r="B246" s="665"/>
      <c r="C246" s="665"/>
      <c r="D246" s="665"/>
      <c r="E246" s="665"/>
      <c r="F246" s="512"/>
      <c r="I246" s="661"/>
      <c r="J246" s="661"/>
      <c r="K246" s="662"/>
      <c r="L246" s="663"/>
    </row>
    <row r="247" spans="1:12" s="550" customFormat="1">
      <c r="A247" s="665"/>
      <c r="B247" s="665"/>
      <c r="C247" s="665"/>
      <c r="D247" s="665"/>
      <c r="E247" s="665"/>
      <c r="F247" s="512"/>
      <c r="I247" s="661"/>
      <c r="J247" s="661"/>
      <c r="K247" s="662"/>
      <c r="L247" s="663"/>
    </row>
    <row r="248" spans="1:12" s="550" customFormat="1">
      <c r="A248" s="665"/>
      <c r="B248" s="665"/>
      <c r="C248" s="665"/>
      <c r="D248" s="665"/>
      <c r="E248" s="665"/>
      <c r="F248" s="512"/>
      <c r="I248" s="661"/>
      <c r="J248" s="661"/>
      <c r="K248" s="662"/>
      <c r="L248" s="663"/>
    </row>
    <row r="249" spans="1:12" s="550" customFormat="1">
      <c r="A249" s="665"/>
      <c r="B249" s="665"/>
      <c r="C249" s="665"/>
      <c r="D249" s="665"/>
      <c r="E249" s="665"/>
      <c r="F249" s="512"/>
      <c r="I249" s="661"/>
      <c r="J249" s="661"/>
      <c r="K249" s="662"/>
      <c r="L249" s="663"/>
    </row>
    <row r="250" spans="1:12" s="550" customFormat="1">
      <c r="A250" s="665"/>
      <c r="B250" s="665"/>
      <c r="C250" s="665"/>
      <c r="D250" s="665"/>
      <c r="E250" s="665"/>
      <c r="F250" s="512"/>
      <c r="I250" s="661"/>
      <c r="J250" s="661"/>
      <c r="K250" s="662"/>
      <c r="L250" s="663"/>
    </row>
    <row r="251" spans="1:12" s="550" customFormat="1">
      <c r="A251" s="665"/>
      <c r="B251" s="665"/>
      <c r="C251" s="665"/>
      <c r="D251" s="665"/>
      <c r="E251" s="665"/>
      <c r="F251" s="512"/>
      <c r="I251" s="661"/>
      <c r="J251" s="661"/>
      <c r="K251" s="662"/>
      <c r="L251" s="663"/>
    </row>
    <row r="252" spans="1:12" s="550" customFormat="1">
      <c r="A252" s="665"/>
      <c r="B252" s="665"/>
      <c r="C252" s="665"/>
      <c r="D252" s="665"/>
      <c r="E252" s="665"/>
      <c r="F252" s="512"/>
      <c r="I252" s="661"/>
      <c r="J252" s="661"/>
      <c r="K252" s="662"/>
      <c r="L252" s="663"/>
    </row>
    <row r="253" spans="1:12" s="550" customFormat="1">
      <c r="A253" s="665"/>
      <c r="B253" s="665"/>
      <c r="C253" s="665"/>
      <c r="D253" s="665"/>
      <c r="E253" s="665"/>
      <c r="F253" s="512"/>
      <c r="I253" s="661"/>
      <c r="J253" s="661"/>
      <c r="K253" s="662"/>
      <c r="L253" s="663"/>
    </row>
    <row r="254" spans="1:12" s="550" customFormat="1">
      <c r="A254" s="665"/>
      <c r="B254" s="665"/>
      <c r="C254" s="665"/>
      <c r="D254" s="665"/>
      <c r="E254" s="665"/>
      <c r="F254" s="512"/>
      <c r="I254" s="661"/>
      <c r="J254" s="661"/>
      <c r="K254" s="662"/>
      <c r="L254" s="663"/>
    </row>
    <row r="255" spans="1:12" s="550" customFormat="1">
      <c r="A255" s="665"/>
      <c r="B255" s="665"/>
      <c r="C255" s="665"/>
      <c r="D255" s="665"/>
      <c r="E255" s="665"/>
      <c r="F255" s="512"/>
      <c r="I255" s="661"/>
      <c r="J255" s="661"/>
      <c r="K255" s="662"/>
      <c r="L255" s="663"/>
    </row>
    <row r="256" spans="1:12" s="550" customFormat="1">
      <c r="A256" s="665"/>
      <c r="B256" s="665"/>
      <c r="C256" s="665"/>
      <c r="D256" s="665"/>
      <c r="E256" s="665"/>
      <c r="F256" s="512"/>
      <c r="I256" s="661"/>
      <c r="J256" s="661"/>
      <c r="K256" s="662"/>
      <c r="L256" s="663"/>
    </row>
    <row r="257" spans="1:12" s="550" customFormat="1">
      <c r="A257" s="665"/>
      <c r="B257" s="665"/>
      <c r="C257" s="665"/>
      <c r="D257" s="665"/>
      <c r="E257" s="665"/>
      <c r="F257" s="512"/>
      <c r="I257" s="661"/>
      <c r="J257" s="661"/>
      <c r="K257" s="662"/>
      <c r="L257" s="663"/>
    </row>
    <row r="258" spans="1:12" s="550" customFormat="1">
      <c r="A258" s="665"/>
      <c r="B258" s="665"/>
      <c r="C258" s="665"/>
      <c r="D258" s="665"/>
      <c r="E258" s="665"/>
      <c r="F258" s="512"/>
      <c r="I258" s="661"/>
      <c r="J258" s="661"/>
      <c r="K258" s="662"/>
      <c r="L258" s="663"/>
    </row>
    <row r="259" spans="1:12" s="550" customFormat="1">
      <c r="A259" s="665"/>
      <c r="B259" s="665"/>
      <c r="C259" s="665"/>
      <c r="D259" s="665"/>
      <c r="E259" s="665"/>
      <c r="F259" s="512"/>
      <c r="I259" s="661"/>
      <c r="J259" s="661"/>
      <c r="K259" s="662"/>
      <c r="L259" s="663"/>
    </row>
    <row r="260" spans="1:12" s="550" customFormat="1">
      <c r="A260" s="665"/>
      <c r="B260" s="665"/>
      <c r="C260" s="665"/>
      <c r="D260" s="665"/>
      <c r="E260" s="665"/>
      <c r="F260" s="512"/>
      <c r="I260" s="661"/>
      <c r="J260" s="661"/>
      <c r="K260" s="662"/>
      <c r="L260" s="663"/>
    </row>
    <row r="261" spans="1:12" s="550" customFormat="1">
      <c r="A261" s="665"/>
      <c r="B261" s="665"/>
      <c r="C261" s="665"/>
      <c r="D261" s="665"/>
      <c r="E261" s="665"/>
      <c r="F261" s="512"/>
      <c r="I261" s="661"/>
      <c r="J261" s="661"/>
      <c r="K261" s="662"/>
      <c r="L261" s="663"/>
    </row>
    <row r="262" spans="1:12" s="550" customFormat="1">
      <c r="A262" s="665"/>
      <c r="B262" s="665"/>
      <c r="C262" s="665"/>
      <c r="D262" s="665"/>
      <c r="E262" s="665"/>
      <c r="F262" s="512"/>
      <c r="I262" s="661"/>
      <c r="J262" s="661"/>
      <c r="K262" s="662"/>
      <c r="L262" s="663"/>
    </row>
    <row r="263" spans="1:12" s="550" customFormat="1">
      <c r="A263" s="665"/>
      <c r="B263" s="665"/>
      <c r="C263" s="665"/>
      <c r="D263" s="665"/>
      <c r="E263" s="665"/>
      <c r="F263" s="512"/>
      <c r="I263" s="661"/>
      <c r="J263" s="661"/>
      <c r="K263" s="662"/>
      <c r="L263" s="663"/>
    </row>
    <row r="264" spans="1:12" s="550" customFormat="1">
      <c r="A264" s="665"/>
      <c r="B264" s="665"/>
      <c r="C264" s="665"/>
      <c r="D264" s="665"/>
      <c r="E264" s="665"/>
      <c r="F264" s="512"/>
      <c r="I264" s="661"/>
      <c r="J264" s="661"/>
      <c r="K264" s="662"/>
      <c r="L264" s="663"/>
    </row>
    <row r="265" spans="1:12" s="550" customFormat="1">
      <c r="A265" s="665"/>
      <c r="B265" s="665"/>
      <c r="C265" s="665"/>
      <c r="D265" s="665"/>
      <c r="E265" s="665"/>
      <c r="F265" s="512"/>
      <c r="I265" s="661"/>
      <c r="J265" s="661"/>
      <c r="K265" s="662"/>
      <c r="L265" s="663"/>
    </row>
    <row r="266" spans="1:12" s="550" customFormat="1">
      <c r="A266" s="665"/>
      <c r="B266" s="665"/>
      <c r="C266" s="665"/>
      <c r="D266" s="665"/>
      <c r="E266" s="665"/>
      <c r="F266" s="512"/>
      <c r="I266" s="661"/>
      <c r="J266" s="661"/>
      <c r="K266" s="662"/>
      <c r="L266" s="663"/>
    </row>
    <row r="267" spans="1:12" s="550" customFormat="1">
      <c r="A267" s="665"/>
      <c r="B267" s="665"/>
      <c r="C267" s="665"/>
      <c r="D267" s="665"/>
      <c r="E267" s="665"/>
      <c r="F267" s="512"/>
      <c r="I267" s="661"/>
      <c r="J267" s="661"/>
      <c r="K267" s="662"/>
      <c r="L267" s="663"/>
    </row>
    <row r="268" spans="1:12" s="550" customFormat="1">
      <c r="A268" s="665"/>
      <c r="B268" s="665"/>
      <c r="C268" s="665"/>
      <c r="D268" s="665"/>
      <c r="E268" s="665"/>
      <c r="F268" s="512"/>
      <c r="I268" s="661"/>
      <c r="J268" s="661"/>
      <c r="K268" s="662"/>
      <c r="L268" s="663"/>
    </row>
    <row r="269" spans="1:12" s="550" customFormat="1">
      <c r="A269" s="665"/>
      <c r="B269" s="665"/>
      <c r="C269" s="665"/>
      <c r="D269" s="665"/>
      <c r="E269" s="665"/>
      <c r="F269" s="512"/>
      <c r="I269" s="661"/>
      <c r="J269" s="661"/>
      <c r="K269" s="662"/>
      <c r="L269" s="663"/>
    </row>
    <row r="270" spans="1:12" s="550" customFormat="1">
      <c r="A270" s="665"/>
      <c r="B270" s="665"/>
      <c r="C270" s="665"/>
      <c r="D270" s="665"/>
      <c r="E270" s="665"/>
      <c r="F270" s="512"/>
      <c r="I270" s="661"/>
      <c r="J270" s="661"/>
      <c r="K270" s="662"/>
      <c r="L270" s="663"/>
    </row>
    <row r="271" spans="1:12" s="550" customFormat="1">
      <c r="A271" s="665"/>
      <c r="B271" s="665"/>
      <c r="C271" s="665"/>
      <c r="D271" s="665"/>
      <c r="E271" s="665"/>
      <c r="F271" s="512"/>
      <c r="I271" s="661"/>
      <c r="J271" s="661"/>
      <c r="K271" s="662"/>
      <c r="L271" s="663"/>
    </row>
    <row r="272" spans="1:12" s="550" customFormat="1">
      <c r="A272" s="665"/>
      <c r="B272" s="665"/>
      <c r="C272" s="665"/>
      <c r="D272" s="665"/>
      <c r="E272" s="665"/>
      <c r="F272" s="512"/>
      <c r="I272" s="661"/>
      <c r="J272" s="661"/>
      <c r="K272" s="662"/>
      <c r="L272" s="663"/>
    </row>
    <row r="273" spans="1:12" s="550" customFormat="1">
      <c r="A273" s="665"/>
      <c r="B273" s="665"/>
      <c r="C273" s="665"/>
      <c r="D273" s="665"/>
      <c r="E273" s="665"/>
      <c r="F273" s="512"/>
      <c r="I273" s="661"/>
      <c r="J273" s="661"/>
      <c r="K273" s="662"/>
      <c r="L273" s="663"/>
    </row>
    <row r="274" spans="1:12" s="550" customFormat="1">
      <c r="A274" s="665"/>
      <c r="B274" s="665"/>
      <c r="C274" s="665"/>
      <c r="D274" s="665"/>
      <c r="E274" s="665"/>
      <c r="F274" s="512"/>
      <c r="I274" s="661"/>
      <c r="J274" s="661"/>
      <c r="K274" s="662"/>
      <c r="L274" s="663"/>
    </row>
    <row r="275" spans="1:12" s="550" customFormat="1">
      <c r="A275" s="665"/>
      <c r="B275" s="665"/>
      <c r="C275" s="665"/>
      <c r="D275" s="665"/>
      <c r="E275" s="665"/>
      <c r="F275" s="512"/>
      <c r="I275" s="661"/>
      <c r="J275" s="661"/>
      <c r="K275" s="662"/>
      <c r="L275" s="663"/>
    </row>
    <row r="276" spans="1:12" s="550" customFormat="1">
      <c r="A276" s="665"/>
      <c r="B276" s="665"/>
      <c r="C276" s="665"/>
      <c r="D276" s="665"/>
      <c r="E276" s="665"/>
      <c r="F276" s="512"/>
      <c r="I276" s="661"/>
      <c r="J276" s="661"/>
      <c r="K276" s="662"/>
      <c r="L276" s="663"/>
    </row>
    <row r="277" spans="1:12" s="550" customFormat="1">
      <c r="A277" s="665"/>
      <c r="B277" s="665"/>
      <c r="C277" s="665"/>
      <c r="D277" s="665"/>
      <c r="E277" s="665"/>
      <c r="F277" s="512"/>
      <c r="I277" s="661"/>
      <c r="J277" s="661"/>
      <c r="K277" s="662"/>
      <c r="L277" s="663"/>
    </row>
    <row r="278" spans="1:12" s="550" customFormat="1">
      <c r="A278" s="665"/>
      <c r="B278" s="665"/>
      <c r="C278" s="665"/>
      <c r="D278" s="665"/>
      <c r="E278" s="665"/>
      <c r="F278" s="512"/>
      <c r="I278" s="661"/>
      <c r="J278" s="661"/>
      <c r="K278" s="662"/>
      <c r="L278" s="663"/>
    </row>
    <row r="279" spans="1:12" s="550" customFormat="1">
      <c r="A279" s="665"/>
      <c r="B279" s="665"/>
      <c r="C279" s="665"/>
      <c r="D279" s="665"/>
      <c r="E279" s="665"/>
      <c r="F279" s="512"/>
      <c r="I279" s="661"/>
      <c r="J279" s="661"/>
      <c r="K279" s="662"/>
      <c r="L279" s="663"/>
    </row>
    <row r="280" spans="1:12" s="550" customFormat="1">
      <c r="A280" s="665"/>
      <c r="B280" s="665"/>
      <c r="C280" s="665"/>
      <c r="D280" s="665"/>
      <c r="E280" s="665"/>
      <c r="F280" s="512"/>
      <c r="I280" s="661"/>
      <c r="J280" s="661"/>
      <c r="K280" s="662"/>
      <c r="L280" s="663"/>
    </row>
  </sheetData>
  <mergeCells count="32">
    <mergeCell ref="A167:H167"/>
    <mergeCell ref="D145:F145"/>
    <mergeCell ref="D146:F146"/>
    <mergeCell ref="D147:F147"/>
    <mergeCell ref="A155:H155"/>
    <mergeCell ref="A159:H159"/>
    <mergeCell ref="A161:H161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</mergeCells>
  <pageMargins left="0.70866141732283472" right="0.70866141732283472" top="0.74803149606299213" bottom="0.74803149606299213" header="0.31496062992125984" footer="0.31496062992125984"/>
  <pageSetup paperSize="9" scale="56" firstPageNumber="2" fitToHeight="10" orientation="portrait" useFirstPageNumber="1" r:id="rId1"/>
  <headerFoot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21" sqref="K21"/>
    </sheetView>
  </sheetViews>
  <sheetFormatPr defaultRowHeight="12.75"/>
  <cols>
    <col min="1" max="5" width="18.5703125" customWidth="1"/>
  </cols>
  <sheetData>
    <row r="1" spans="1:5" ht="38.25" customHeight="1" thickBot="1">
      <c r="A1" s="707" t="s">
        <v>3974</v>
      </c>
      <c r="B1" s="707" t="s">
        <v>3975</v>
      </c>
      <c r="C1" s="707" t="s">
        <v>3976</v>
      </c>
      <c r="D1" s="707" t="s">
        <v>3977</v>
      </c>
      <c r="E1" s="707" t="s">
        <v>3978</v>
      </c>
    </row>
    <row r="2" spans="1:5" ht="26.25" thickBot="1">
      <c r="A2" s="708" t="s">
        <v>5</v>
      </c>
      <c r="B2" s="709">
        <f>'3. Schema CE'!D35</f>
        <v>508121043</v>
      </c>
      <c r="C2" s="709">
        <f>'3. Schema CE'!E35</f>
        <v>457909969</v>
      </c>
      <c r="D2" s="709">
        <f>B2-C2</f>
        <v>50211074</v>
      </c>
      <c r="E2" s="710">
        <f>D2/C2</f>
        <v>0.10965272083866774</v>
      </c>
    </row>
    <row r="3" spans="1:5" ht="26.25" thickBot="1">
      <c r="A3" s="708" t="s">
        <v>34</v>
      </c>
      <c r="B3" s="709">
        <f>'3. Schema CE'!D85</f>
        <v>509088911</v>
      </c>
      <c r="C3" s="709">
        <f>'3. Schema CE'!E85</f>
        <v>455361941</v>
      </c>
      <c r="D3" s="709">
        <f t="shared" ref="D3:D7" si="0">B3-C3</f>
        <v>53726970</v>
      </c>
      <c r="E3" s="710">
        <f t="shared" ref="E3:E8" si="1">D3/C3</f>
        <v>0.117987396755233</v>
      </c>
    </row>
    <row r="4" spans="1:5" ht="24.75" customHeight="1" thickBot="1">
      <c r="A4" s="708" t="s">
        <v>3979</v>
      </c>
      <c r="B4" s="709">
        <f>'3. Schema CE'!D118</f>
        <v>1111451</v>
      </c>
      <c r="C4" s="709">
        <f>'3. Schema CE'!E118</f>
        <v>864090</v>
      </c>
      <c r="D4" s="709">
        <f t="shared" si="0"/>
        <v>247361</v>
      </c>
      <c r="E4" s="710">
        <f t="shared" si="1"/>
        <v>0.28626763415847889</v>
      </c>
    </row>
    <row r="5" spans="1:5" ht="26.25" thickBot="1">
      <c r="A5" s="708" t="s">
        <v>3980</v>
      </c>
      <c r="B5" s="709">
        <f>B2-B3-B4</f>
        <v>-2079319</v>
      </c>
      <c r="C5" s="709">
        <f>C2-C3-C4</f>
        <v>1683938</v>
      </c>
      <c r="D5" s="709">
        <f t="shared" si="0"/>
        <v>-3763257</v>
      </c>
      <c r="E5" s="710">
        <f t="shared" si="1"/>
        <v>-2.2347954615906285</v>
      </c>
    </row>
    <row r="6" spans="1:5" ht="26.25" thickBot="1">
      <c r="A6" s="708" t="s">
        <v>3981</v>
      </c>
      <c r="B6" s="711"/>
      <c r="C6" s="711"/>
      <c r="D6" s="709"/>
      <c r="E6" s="710"/>
    </row>
    <row r="7" spans="1:5" ht="26.25" thickBot="1">
      <c r="A7" s="708" t="s">
        <v>3982</v>
      </c>
      <c r="B7" s="709">
        <f>'3. Schema CE'!D106</f>
        <v>4954280</v>
      </c>
      <c r="C7" s="709">
        <f>'3. Schema CE'!E106</f>
        <v>-251159</v>
      </c>
      <c r="D7" s="709">
        <f t="shared" si="0"/>
        <v>5205439</v>
      </c>
      <c r="E7" s="710">
        <f t="shared" si="1"/>
        <v>-20.72567178560195</v>
      </c>
    </row>
    <row r="8" spans="1:5" ht="26.25" thickBot="1">
      <c r="A8" s="712" t="s">
        <v>3983</v>
      </c>
      <c r="B8" s="709">
        <f>SUM(B5:B7)</f>
        <v>2874961</v>
      </c>
      <c r="C8" s="709">
        <f t="shared" ref="C8:D8" si="2">SUM(C5:C7)</f>
        <v>1432779</v>
      </c>
      <c r="D8" s="709">
        <f t="shared" si="2"/>
        <v>1442182</v>
      </c>
      <c r="E8" s="710">
        <f t="shared" si="1"/>
        <v>1.0065627706715412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" sqref="B2:B12"/>
    </sheetView>
  </sheetViews>
  <sheetFormatPr defaultRowHeight="12.75"/>
  <cols>
    <col min="1" max="5" width="18.28515625" customWidth="1"/>
  </cols>
  <sheetData>
    <row r="1" spans="1:5" ht="39" thickBot="1">
      <c r="A1" s="707" t="s">
        <v>3984</v>
      </c>
      <c r="B1" s="707" t="s">
        <v>3975</v>
      </c>
      <c r="C1" s="707" t="s">
        <v>3976</v>
      </c>
      <c r="D1" s="707" t="s">
        <v>3977</v>
      </c>
      <c r="E1" s="707" t="s">
        <v>3978</v>
      </c>
    </row>
    <row r="2" spans="1:5" ht="15.75" thickBot="1">
      <c r="A2" s="713" t="s">
        <v>3832</v>
      </c>
      <c r="B2" s="709">
        <f>'2. Schema SP'!I37</f>
        <v>421699</v>
      </c>
      <c r="C2" s="709">
        <f>'2. Schema SP'!J37</f>
        <v>501986</v>
      </c>
      <c r="D2" s="709">
        <f>B2-C2</f>
        <v>-80287</v>
      </c>
      <c r="E2" s="710">
        <f>D2/C2</f>
        <v>-0.15993872339069218</v>
      </c>
    </row>
    <row r="3" spans="1:5" ht="15.75" thickBot="1">
      <c r="A3" s="713" t="s">
        <v>3985</v>
      </c>
      <c r="B3" s="709">
        <f>'2. Schema SP'!I40</f>
        <v>65966511</v>
      </c>
      <c r="C3" s="709">
        <f>'2. Schema SP'!J40</f>
        <v>53597091</v>
      </c>
      <c r="D3" s="709">
        <f t="shared" ref="D3:D12" si="0">B3-C3</f>
        <v>12369420</v>
      </c>
      <c r="E3" s="710">
        <f t="shared" ref="E3:E12" si="1">D3/C3</f>
        <v>0.23078528646265523</v>
      </c>
    </row>
    <row r="4" spans="1:5" ht="15.75" thickBot="1">
      <c r="A4" s="713" t="s">
        <v>3986</v>
      </c>
      <c r="B4" s="709">
        <f>'2. Schema SP'!I46</f>
        <v>148663910</v>
      </c>
      <c r="C4" s="709">
        <f>'2. Schema SP'!J46</f>
        <v>51603328</v>
      </c>
      <c r="D4" s="709">
        <f t="shared" si="0"/>
        <v>97060582</v>
      </c>
      <c r="E4" s="710">
        <f t="shared" si="1"/>
        <v>1.8808977203950876</v>
      </c>
    </row>
    <row r="5" spans="1:5" ht="26.25" thickBot="1">
      <c r="A5" s="713" t="s">
        <v>3987</v>
      </c>
      <c r="B5" s="709">
        <f>'2. Schema SP'!I81</f>
        <v>32808726</v>
      </c>
      <c r="C5" s="709">
        <f>'2. Schema SP'!J81</f>
        <v>90475502</v>
      </c>
      <c r="D5" s="709">
        <f t="shared" si="0"/>
        <v>-57666776</v>
      </c>
      <c r="E5" s="710">
        <f t="shared" si="1"/>
        <v>-0.63737447955801341</v>
      </c>
    </row>
    <row r="6" spans="1:5" ht="15.75" thickBot="1">
      <c r="A6" s="714" t="s">
        <v>3988</v>
      </c>
      <c r="B6" s="709">
        <f>'2. Schema SP'!I90</f>
        <v>1841599</v>
      </c>
      <c r="C6" s="709">
        <f>'2. Schema SP'!J90</f>
        <v>1307750</v>
      </c>
      <c r="D6" s="709">
        <f t="shared" si="0"/>
        <v>533849</v>
      </c>
      <c r="E6" s="710">
        <f t="shared" si="1"/>
        <v>0.40821946090613648</v>
      </c>
    </row>
    <row r="7" spans="1:5" ht="15.75" thickBot="1">
      <c r="A7" s="713" t="s">
        <v>3989</v>
      </c>
      <c r="B7" s="709">
        <f>SUM(B2:B6)</f>
        <v>249702445</v>
      </c>
      <c r="C7" s="709">
        <f>SUM(C2:C6)</f>
        <v>197485657</v>
      </c>
      <c r="D7" s="709">
        <f t="shared" si="0"/>
        <v>52216788</v>
      </c>
      <c r="E7" s="710">
        <f t="shared" si="1"/>
        <v>0.26440800204543463</v>
      </c>
    </row>
    <row r="8" spans="1:5" ht="26.25" thickBot="1">
      <c r="A8" s="713" t="s">
        <v>3917</v>
      </c>
      <c r="B8" s="709">
        <f>'2. Schema SP'!I123</f>
        <v>7340659</v>
      </c>
      <c r="C8" s="709">
        <f>'2. Schema SP'!J123</f>
        <v>4548597</v>
      </c>
      <c r="D8" s="709">
        <f t="shared" si="0"/>
        <v>2792062</v>
      </c>
      <c r="E8" s="710">
        <f t="shared" si="1"/>
        <v>0.61382927526883568</v>
      </c>
    </row>
    <row r="9" spans="1:5" ht="26.25" thickBot="1">
      <c r="A9" s="713" t="s">
        <v>3990</v>
      </c>
      <c r="B9" s="709">
        <f>'2. Schema SP'!I130</f>
        <v>72214520</v>
      </c>
      <c r="C9" s="709">
        <f>'2. Schema SP'!J130</f>
        <v>52494191</v>
      </c>
      <c r="D9" s="709">
        <f t="shared" si="0"/>
        <v>19720329</v>
      </c>
      <c r="E9" s="710">
        <f t="shared" si="1"/>
        <v>0.37566688093164441</v>
      </c>
    </row>
    <row r="10" spans="1:5" ht="15.75" thickBot="1">
      <c r="A10" s="713" t="s">
        <v>3991</v>
      </c>
      <c r="B10" s="709">
        <f>'2. Schema SP'!I155</f>
        <v>170147266</v>
      </c>
      <c r="C10" s="709">
        <f>'2. Schema SP'!J155</f>
        <v>140442869</v>
      </c>
      <c r="D10" s="709">
        <f t="shared" si="0"/>
        <v>29704397</v>
      </c>
      <c r="E10" s="710">
        <f t="shared" si="1"/>
        <v>0.21150519931346604</v>
      </c>
    </row>
    <row r="11" spans="1:5" ht="15.75" thickBot="1">
      <c r="A11" s="713" t="s">
        <v>3988</v>
      </c>
      <c r="B11" s="709">
        <f>'[5]Schema SP'!I159</f>
        <v>0</v>
      </c>
      <c r="C11" s="709">
        <f>'[5]Schema SP'!J159</f>
        <v>0</v>
      </c>
      <c r="D11" s="709">
        <f t="shared" si="0"/>
        <v>0</v>
      </c>
      <c r="E11" s="710"/>
    </row>
    <row r="12" spans="1:5" ht="15.75" thickBot="1">
      <c r="A12" s="713" t="s">
        <v>3992</v>
      </c>
      <c r="B12" s="709">
        <f>B10+B11+B9+B8</f>
        <v>249702445</v>
      </c>
      <c r="C12" s="709">
        <f>C10+C11+C9+C8</f>
        <v>197485657</v>
      </c>
      <c r="D12" s="709">
        <f t="shared" si="0"/>
        <v>52216788</v>
      </c>
      <c r="E12" s="710">
        <f t="shared" si="1"/>
        <v>0.26440800204543463</v>
      </c>
    </row>
    <row r="14" spans="1:5">
      <c r="B14" s="715">
        <f>+B7-B12</f>
        <v>0</v>
      </c>
      <c r="C14" s="715">
        <f>+C7-C12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0"/>
    </sheetView>
  </sheetViews>
  <sheetFormatPr defaultRowHeight="12.75"/>
  <cols>
    <col min="1" max="1" width="19.85546875" customWidth="1"/>
    <col min="2" max="2" width="22" customWidth="1"/>
  </cols>
  <sheetData>
    <row r="1" spans="1:2" ht="26.25" thickBot="1">
      <c r="A1" s="707" t="s">
        <v>3984</v>
      </c>
      <c r="B1" s="707" t="s">
        <v>3975</v>
      </c>
    </row>
    <row r="2" spans="1:2" ht="15.75" thickBot="1">
      <c r="A2" s="713" t="s">
        <v>3832</v>
      </c>
      <c r="B2" s="709">
        <v>421699</v>
      </c>
    </row>
    <row r="3" spans="1:2" ht="15.75" thickBot="1">
      <c r="A3" s="713" t="s">
        <v>3985</v>
      </c>
      <c r="B3" s="709">
        <v>65966511</v>
      </c>
    </row>
    <row r="4" spans="1:2" ht="15.75" thickBot="1">
      <c r="A4" s="713" t="s">
        <v>3986</v>
      </c>
      <c r="B4" s="709">
        <v>148663910</v>
      </c>
    </row>
    <row r="5" spans="1:2" ht="26.25" thickBot="1">
      <c r="A5" s="713" t="s">
        <v>3987</v>
      </c>
      <c r="B5" s="709">
        <v>32808726</v>
      </c>
    </row>
    <row r="6" spans="1:2" ht="26.25" thickBot="1">
      <c r="A6" s="714" t="s">
        <v>3905</v>
      </c>
      <c r="B6" s="709">
        <v>1841599</v>
      </c>
    </row>
    <row r="7" spans="1:2" ht="15.75" thickBot="1">
      <c r="A7" s="713" t="s">
        <v>3917</v>
      </c>
      <c r="B7" s="709">
        <v>7340659</v>
      </c>
    </row>
    <row r="8" spans="1:2" ht="26.25" thickBot="1">
      <c r="A8" s="713" t="s">
        <v>3990</v>
      </c>
      <c r="B8" s="709">
        <v>72214520</v>
      </c>
    </row>
    <row r="9" spans="1:2" ht="15.75" thickBot="1">
      <c r="A9" s="713" t="s">
        <v>3991</v>
      </c>
      <c r="B9" s="709">
        <v>170147266</v>
      </c>
    </row>
    <row r="10" spans="1:2" ht="26.25" thickBot="1">
      <c r="A10" s="713" t="s">
        <v>3993</v>
      </c>
      <c r="B10" s="709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selection activeCell="Q21" sqref="Q21"/>
    </sheetView>
  </sheetViews>
  <sheetFormatPr defaultRowHeight="12.75"/>
  <cols>
    <col min="1" max="1" width="19.85546875" customWidth="1"/>
    <col min="2" max="2" width="22" customWidth="1"/>
  </cols>
  <sheetData>
    <row r="1" spans="1:2" ht="26.25" thickBot="1">
      <c r="A1" s="707" t="s">
        <v>3984</v>
      </c>
      <c r="B1" s="707" t="s">
        <v>3975</v>
      </c>
    </row>
    <row r="2" spans="1:2" ht="15.75" thickBot="1">
      <c r="A2" s="713" t="s">
        <v>3832</v>
      </c>
      <c r="B2" s="709">
        <v>438447300</v>
      </c>
    </row>
    <row r="3" spans="1:2" ht="15.75" thickBot="1">
      <c r="A3" s="713" t="s">
        <v>3985</v>
      </c>
      <c r="B3" s="709">
        <v>2687134</v>
      </c>
    </row>
    <row r="4" spans="1:2" ht="15.75" thickBot="1">
      <c r="A4" s="713" t="s">
        <v>3986</v>
      </c>
      <c r="B4" s="709">
        <v>463018690</v>
      </c>
    </row>
    <row r="5" spans="1:2" ht="26.25" thickBot="1">
      <c r="A5" s="713" t="s">
        <v>3987</v>
      </c>
      <c r="B5" s="709">
        <v>314396581</v>
      </c>
    </row>
    <row r="6" spans="1:2" ht="26.25" thickBot="1">
      <c r="A6" s="714" t="s">
        <v>3905</v>
      </c>
      <c r="B6" s="709">
        <v>21926</v>
      </c>
    </row>
    <row r="7" spans="1:2" ht="15.75" thickBot="1">
      <c r="A7" s="713" t="s">
        <v>3917</v>
      </c>
      <c r="B7" s="709">
        <v>710768240</v>
      </c>
    </row>
    <row r="8" spans="1:2" ht="26.25" thickBot="1">
      <c r="A8" s="713" t="s">
        <v>3990</v>
      </c>
      <c r="B8" s="709">
        <f>86449850+2264295</f>
        <v>88714145</v>
      </c>
    </row>
    <row r="9" spans="1:2" ht="15.75" thickBot="1">
      <c r="A9" s="713" t="s">
        <v>3991</v>
      </c>
      <c r="B9" s="709">
        <v>418878236</v>
      </c>
    </row>
    <row r="10" spans="1:2" ht="26.25" thickBot="1">
      <c r="A10" s="713" t="s">
        <v>3993</v>
      </c>
      <c r="B10" s="709">
        <v>211008</v>
      </c>
    </row>
    <row r="13" spans="1:2" ht="13.5" thickBot="1"/>
    <row r="14" spans="1:2" ht="26.25" thickBot="1">
      <c r="A14" s="707" t="s">
        <v>3984</v>
      </c>
      <c r="B14" s="707" t="s">
        <v>3975</v>
      </c>
    </row>
    <row r="15" spans="1:2" ht="15.75" thickBot="1">
      <c r="A15" s="713" t="s">
        <v>3832</v>
      </c>
      <c r="B15" s="709">
        <v>421699</v>
      </c>
    </row>
    <row r="16" spans="1:2" ht="15.75" thickBot="1">
      <c r="A16" s="713" t="s">
        <v>3985</v>
      </c>
      <c r="B16" s="709">
        <v>65966511</v>
      </c>
    </row>
    <row r="17" spans="1:2" ht="15.75" thickBot="1">
      <c r="A17" s="713" t="s">
        <v>3986</v>
      </c>
      <c r="B17" s="709">
        <v>148663910</v>
      </c>
    </row>
    <row r="18" spans="1:2" ht="26.25" thickBot="1">
      <c r="A18" s="713" t="s">
        <v>3987</v>
      </c>
      <c r="B18" s="709">
        <v>32808726</v>
      </c>
    </row>
    <row r="19" spans="1:2" ht="26.25" thickBot="1">
      <c r="A19" s="714" t="s">
        <v>3905</v>
      </c>
      <c r="B19" s="709">
        <v>1841599</v>
      </c>
    </row>
    <row r="20" spans="1:2" ht="15.75" thickBot="1">
      <c r="A20" s="713" t="s">
        <v>3917</v>
      </c>
      <c r="B20" s="709">
        <v>7340659</v>
      </c>
    </row>
    <row r="21" spans="1:2" ht="26.25" thickBot="1">
      <c r="A21" s="713" t="s">
        <v>3990</v>
      </c>
      <c r="B21" s="709">
        <v>72214520</v>
      </c>
    </row>
    <row r="22" spans="1:2" ht="15.75" thickBot="1">
      <c r="A22" s="713" t="s">
        <v>3991</v>
      </c>
      <c r="B22" s="709">
        <v>170147266</v>
      </c>
    </row>
    <row r="23" spans="1:2" ht="26.25" thickBot="1">
      <c r="A23" s="713" t="s">
        <v>3993</v>
      </c>
      <c r="B23" s="709">
        <v>0</v>
      </c>
    </row>
  </sheetData>
  <pageMargins left="0.25" right="0.25" top="0.75" bottom="0.75" header="0.3" footer="0.3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11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771" t="s">
        <v>1920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</row>
    <row r="2" spans="1:12" ht="13.5" thickBot="1"/>
    <row r="3" spans="1:12" ht="16.899999999999999" customHeight="1" thickTop="1">
      <c r="A3" s="774" t="s">
        <v>1823</v>
      </c>
      <c r="B3" s="264"/>
      <c r="C3" s="776" t="s">
        <v>1824</v>
      </c>
      <c r="D3" s="772" t="s">
        <v>1815</v>
      </c>
      <c r="E3" s="772" t="s">
        <v>1816</v>
      </c>
      <c r="F3" s="773" t="s">
        <v>1817</v>
      </c>
      <c r="G3" s="773"/>
      <c r="H3" s="772" t="s">
        <v>1811</v>
      </c>
      <c r="I3" s="772" t="s">
        <v>1812</v>
      </c>
      <c r="J3" s="772" t="s">
        <v>1813</v>
      </c>
      <c r="K3" s="772" t="s">
        <v>1809</v>
      </c>
      <c r="L3" s="772" t="s">
        <v>1810</v>
      </c>
    </row>
    <row r="4" spans="1:12" ht="93" customHeight="1">
      <c r="A4" s="775"/>
      <c r="B4" s="265"/>
      <c r="C4" s="777"/>
      <c r="D4" s="772"/>
      <c r="E4" s="772"/>
      <c r="F4" s="772" t="s">
        <v>1818</v>
      </c>
      <c r="G4" s="772" t="s">
        <v>1819</v>
      </c>
      <c r="H4" s="772"/>
      <c r="I4" s="772"/>
      <c r="J4" s="772"/>
      <c r="K4" s="772"/>
      <c r="L4" s="772"/>
    </row>
    <row r="5" spans="1:12" ht="15.75">
      <c r="A5" s="217" t="s">
        <v>1825</v>
      </c>
      <c r="B5" s="266"/>
      <c r="C5" s="778"/>
      <c r="D5" s="772"/>
      <c r="E5" s="772"/>
      <c r="F5" s="772"/>
      <c r="G5" s="772"/>
      <c r="H5" s="772"/>
      <c r="I5" s="772"/>
      <c r="J5" s="772"/>
      <c r="K5" s="772"/>
      <c r="L5" s="772"/>
    </row>
    <row r="6" spans="1:12" ht="25.5">
      <c r="A6" s="218" t="s">
        <v>1826</v>
      </c>
      <c r="B6" s="267" t="s">
        <v>1827</v>
      </c>
      <c r="C6" s="246" t="s">
        <v>1828</v>
      </c>
      <c r="D6" s="252" t="e">
        <f>+'12. CE Min'!#REF!</f>
        <v>#REF!</v>
      </c>
      <c r="E6" s="252" t="e">
        <f>+'12. CE Min'!#REF!</f>
        <v>#REF!</v>
      </c>
      <c r="F6" s="252" t="e">
        <f>+'12. CE Min'!#REF!</f>
        <v>#REF!</v>
      </c>
      <c r="G6" s="252" t="e">
        <f>+'12. CE Min'!#REF!</f>
        <v>#REF!</v>
      </c>
      <c r="H6" s="252" t="e">
        <f>+'12. CE Min'!#REF!</f>
        <v>#REF!</v>
      </c>
      <c r="I6" s="252" t="e">
        <f>+'12. CE Min'!#REF!</f>
        <v>#REF!</v>
      </c>
      <c r="J6" s="252" t="e">
        <f>+'12. CE Min'!#REF!</f>
        <v>#REF!</v>
      </c>
      <c r="K6" s="252" t="e">
        <f>+'12. CE Min'!#REF!</f>
        <v>#REF!</v>
      </c>
      <c r="L6" s="252" t="e">
        <f>+'12. CE Min'!#REF!</f>
        <v>#REF!</v>
      </c>
    </row>
    <row r="7" spans="1:12" ht="25.5">
      <c r="A7" s="219" t="s">
        <v>1829</v>
      </c>
      <c r="B7" s="268">
        <f>+B6+1</f>
        <v>2</v>
      </c>
      <c r="C7" s="247" t="s">
        <v>183</v>
      </c>
      <c r="D7" s="252" t="e">
        <f>+'12. CE Min'!#REF!</f>
        <v>#REF!</v>
      </c>
      <c r="E7" s="252" t="e">
        <f>+'12. CE Min'!#REF!</f>
        <v>#REF!</v>
      </c>
      <c r="F7" s="252" t="e">
        <f>+'12. CE Min'!#REF!</f>
        <v>#REF!</v>
      </c>
      <c r="G7" s="252" t="e">
        <f>+'12. CE Min'!#REF!</f>
        <v>#REF!</v>
      </c>
      <c r="H7" s="252" t="e">
        <f>+'12. CE Min'!#REF!</f>
        <v>#REF!</v>
      </c>
      <c r="I7" s="252" t="e">
        <f>+'12. CE Min'!#REF!</f>
        <v>#REF!</v>
      </c>
      <c r="J7" s="252" t="e">
        <f>+'12. CE Min'!#REF!</f>
        <v>#REF!</v>
      </c>
      <c r="K7" s="252" t="e">
        <f>+'12. CE Min'!#REF!</f>
        <v>#REF!</v>
      </c>
      <c r="L7" s="252" t="e">
        <f>+'12. CE Min'!#REF!</f>
        <v>#REF!</v>
      </c>
    </row>
    <row r="8" spans="1:12">
      <c r="A8" s="219" t="s">
        <v>1830</v>
      </c>
      <c r="B8" s="268">
        <f t="shared" ref="B8:B18" si="0">+B7+1</f>
        <v>3</v>
      </c>
      <c r="C8" s="247" t="s">
        <v>144</v>
      </c>
      <c r="D8" s="252" t="e">
        <f>+'12. CE Min'!#REF!</f>
        <v>#REF!</v>
      </c>
      <c r="E8" s="252" t="e">
        <f>+'12. CE Min'!#REF!</f>
        <v>#REF!</v>
      </c>
      <c r="F8" s="252" t="e">
        <f>+'12. CE Min'!#REF!</f>
        <v>#REF!</v>
      </c>
      <c r="G8" s="252" t="e">
        <f>+'12. CE Min'!#REF!</f>
        <v>#REF!</v>
      </c>
      <c r="H8" s="252" t="e">
        <f>+'12. CE Min'!#REF!</f>
        <v>#REF!</v>
      </c>
      <c r="I8" s="252" t="e">
        <f>+'12. CE Min'!#REF!</f>
        <v>#REF!</v>
      </c>
      <c r="J8" s="252" t="e">
        <f>+'12. CE Min'!#REF!</f>
        <v>#REF!</v>
      </c>
      <c r="K8" s="252" t="e">
        <f>+'12. CE Min'!#REF!</f>
        <v>#REF!</v>
      </c>
      <c r="L8" s="252" t="e">
        <f>+'12. CE Min'!#REF!</f>
        <v>#REF!</v>
      </c>
    </row>
    <row r="9" spans="1:12">
      <c r="A9" s="219" t="s">
        <v>1831</v>
      </c>
      <c r="B9" s="268">
        <f t="shared" si="0"/>
        <v>4</v>
      </c>
      <c r="C9" s="247" t="s">
        <v>145</v>
      </c>
      <c r="D9" s="252" t="e">
        <f>+'12. CE Min'!#REF!</f>
        <v>#REF!</v>
      </c>
      <c r="E9" s="252" t="e">
        <f>+'12. CE Min'!#REF!</f>
        <v>#REF!</v>
      </c>
      <c r="F9" s="252" t="e">
        <f>+'12. CE Min'!#REF!</f>
        <v>#REF!</v>
      </c>
      <c r="G9" s="252" t="e">
        <f>+'12. CE Min'!#REF!</f>
        <v>#REF!</v>
      </c>
      <c r="H9" s="252" t="e">
        <f>+'12. CE Min'!#REF!</f>
        <v>#REF!</v>
      </c>
      <c r="I9" s="252" t="e">
        <f>+'12. CE Min'!#REF!</f>
        <v>#REF!</v>
      </c>
      <c r="J9" s="252" t="e">
        <f>+'12. CE Min'!#REF!</f>
        <v>#REF!</v>
      </c>
      <c r="K9" s="252" t="e">
        <f>+'12. CE Min'!#REF!</f>
        <v>#REF!</v>
      </c>
      <c r="L9" s="252" t="e">
        <f>+'12. CE Min'!#REF!</f>
        <v>#REF!</v>
      </c>
    </row>
    <row r="10" spans="1:12" ht="25.5">
      <c r="A10" s="220" t="s">
        <v>1832</v>
      </c>
      <c r="B10" s="268">
        <f t="shared" si="0"/>
        <v>5</v>
      </c>
      <c r="C10" s="247" t="s">
        <v>186</v>
      </c>
      <c r="D10" s="252" t="e">
        <f>+'12. CE Min'!#REF!</f>
        <v>#REF!</v>
      </c>
      <c r="E10" s="252" t="e">
        <f>+'12. CE Min'!#REF!</f>
        <v>#REF!</v>
      </c>
      <c r="F10" s="252" t="e">
        <f>+'12. CE Min'!#REF!</f>
        <v>#REF!</v>
      </c>
      <c r="G10" s="252" t="e">
        <f>+'12. CE Min'!#REF!</f>
        <v>#REF!</v>
      </c>
      <c r="H10" s="252" t="e">
        <f>+'12. CE Min'!#REF!</f>
        <v>#REF!</v>
      </c>
      <c r="I10" s="252" t="e">
        <f>+'12. CE Min'!#REF!</f>
        <v>#REF!</v>
      </c>
      <c r="J10" s="252" t="e">
        <f>+'12. CE Min'!#REF!</f>
        <v>#REF!</v>
      </c>
      <c r="K10" s="252" t="e">
        <f>+'12. CE Min'!#REF!</f>
        <v>#REF!</v>
      </c>
      <c r="L10" s="252" t="e">
        <f>+'12. CE Min'!#REF!</f>
        <v>#REF!</v>
      </c>
    </row>
    <row r="11" spans="1:12" ht="25.5">
      <c r="A11" s="220" t="s">
        <v>1833</v>
      </c>
      <c r="B11" s="268">
        <f t="shared" si="0"/>
        <v>6</v>
      </c>
      <c r="C11" s="247" t="s">
        <v>1834</v>
      </c>
      <c r="D11" s="252" t="e">
        <f>+'12. CE Min'!#REF!-'ce art. 44'!D8-'ce art. 44'!D9+'12. CE Min'!#REF!+'12. CE Min'!#REF!</f>
        <v>#REF!</v>
      </c>
      <c r="E11" s="252" t="e">
        <f>+'12. CE Min'!#REF!-'ce art. 44'!E8-'ce art. 44'!E9+'12. CE Min'!#REF!+'12. CE Min'!#REF!</f>
        <v>#REF!</v>
      </c>
      <c r="F11" s="252" t="e">
        <f>+'12. CE Min'!#REF!-'ce art. 44'!F8-'ce art. 44'!F9+'12. CE Min'!#REF!+'12. CE Min'!#REF!</f>
        <v>#REF!</v>
      </c>
      <c r="G11" s="252" t="e">
        <f>+'12. CE Min'!#REF!-'ce art. 44'!G8-'ce art. 44'!G9+'12. CE Min'!#REF!+'12. CE Min'!#REF!</f>
        <v>#REF!</v>
      </c>
      <c r="H11" s="252" t="e">
        <f>+'12. CE Min'!#REF!-'ce art. 44'!H8-'ce art. 44'!H9+'12. CE Min'!#REF!+'12. CE Min'!#REF!</f>
        <v>#REF!</v>
      </c>
      <c r="I11" s="252" t="e">
        <f>+'12. CE Min'!#REF!-'ce art. 44'!I8-'ce art. 44'!I9+'12. CE Min'!#REF!+'12. CE Min'!#REF!</f>
        <v>#REF!</v>
      </c>
      <c r="J11" s="252" t="e">
        <f>+'12. CE Min'!#REF!-'ce art. 44'!J8-'ce art. 44'!J9+'12. CE Min'!#REF!+'12. CE Min'!#REF!</f>
        <v>#REF!</v>
      </c>
      <c r="K11" s="252" t="e">
        <f>+'12. CE Min'!#REF!-'ce art. 44'!K8-'ce art. 44'!K9+'12. CE Min'!#REF!+'12. CE Min'!#REF!</f>
        <v>#REF!</v>
      </c>
      <c r="L11" s="252" t="e">
        <f>+'12. CE Min'!#REF!-'ce art. 44'!L8-'ce art. 44'!L9+'12. CE Min'!#REF!+'12. CE Min'!#REF!</f>
        <v>#REF!</v>
      </c>
    </row>
    <row r="12" spans="1:12">
      <c r="A12" s="220" t="s">
        <v>1835</v>
      </c>
      <c r="B12" s="268">
        <f t="shared" si="0"/>
        <v>7</v>
      </c>
      <c r="C12" s="247" t="s">
        <v>364</v>
      </c>
      <c r="D12" s="252" t="e">
        <f>+'12. CE Min'!#REF!</f>
        <v>#REF!</v>
      </c>
      <c r="E12" s="252" t="e">
        <f>+'12. CE Min'!#REF!</f>
        <v>#REF!</v>
      </c>
      <c r="F12" s="252" t="e">
        <f>+'12. CE Min'!#REF!</f>
        <v>#REF!</v>
      </c>
      <c r="G12" s="252" t="e">
        <f>+'12. CE Min'!#REF!</f>
        <v>#REF!</v>
      </c>
      <c r="H12" s="252" t="e">
        <f>+'12. CE Min'!#REF!</f>
        <v>#REF!</v>
      </c>
      <c r="I12" s="252" t="e">
        <f>+'12. CE Min'!#REF!</f>
        <v>#REF!</v>
      </c>
      <c r="J12" s="252" t="e">
        <f>+'12. CE Min'!#REF!</f>
        <v>#REF!</v>
      </c>
      <c r="K12" s="252" t="e">
        <f>+'12. CE Min'!#REF!</f>
        <v>#REF!</v>
      </c>
      <c r="L12" s="252" t="e">
        <f>+'12. CE Min'!#REF!</f>
        <v>#REF!</v>
      </c>
    </row>
    <row r="13" spans="1:12">
      <c r="A13" s="220" t="s">
        <v>1836</v>
      </c>
      <c r="B13" s="268">
        <f t="shared" si="0"/>
        <v>8</v>
      </c>
      <c r="C13" s="248" t="s">
        <v>341</v>
      </c>
      <c r="D13" s="252" t="e">
        <f>+'12. CE Min'!#REF!</f>
        <v>#REF!</v>
      </c>
      <c r="E13" s="252" t="e">
        <f>+'12. CE Min'!#REF!</f>
        <v>#REF!</v>
      </c>
      <c r="F13" s="252" t="e">
        <f>+'12. CE Min'!#REF!</f>
        <v>#REF!</v>
      </c>
      <c r="G13" s="252" t="e">
        <f>+'12. CE Min'!#REF!</f>
        <v>#REF!</v>
      </c>
      <c r="H13" s="252" t="e">
        <f>+'12. CE Min'!#REF!</f>
        <v>#REF!</v>
      </c>
      <c r="I13" s="252" t="e">
        <f>+'12. CE Min'!#REF!</f>
        <v>#REF!</v>
      </c>
      <c r="J13" s="252" t="e">
        <f>+'12. CE Min'!#REF!</f>
        <v>#REF!</v>
      </c>
      <c r="K13" s="252" t="e">
        <f>+'12. CE Min'!#REF!</f>
        <v>#REF!</v>
      </c>
      <c r="L13" s="252" t="e">
        <f>+'12. CE Min'!#REF!</f>
        <v>#REF!</v>
      </c>
    </row>
    <row r="14" spans="1:12" ht="66.599999999999994" customHeight="1">
      <c r="A14" s="220" t="s">
        <v>1837</v>
      </c>
      <c r="B14" s="268">
        <f t="shared" si="0"/>
        <v>9</v>
      </c>
      <c r="C14" s="249" t="s">
        <v>1838</v>
      </c>
      <c r="D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14" s="252" t="e">
        <f>'12. CE Min'!#REF!+'12.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15" spans="1:12" ht="25.5">
      <c r="A15" s="221" t="s">
        <v>1839</v>
      </c>
      <c r="B15" s="268">
        <f t="shared" si="0"/>
        <v>10</v>
      </c>
      <c r="C15" s="247" t="s">
        <v>185</v>
      </c>
      <c r="D15" s="252" t="e">
        <f>+'12. CE Min'!#REF!</f>
        <v>#REF!</v>
      </c>
      <c r="E15" s="252" t="e">
        <f>+'12. CE Min'!#REF!</f>
        <v>#REF!</v>
      </c>
      <c r="F15" s="252" t="e">
        <f>+'12. CE Min'!#REF!</f>
        <v>#REF!</v>
      </c>
      <c r="G15" s="252" t="e">
        <f>+'12. CE Min'!#REF!</f>
        <v>#REF!</v>
      </c>
      <c r="H15" s="252" t="e">
        <f>+'12. CE Min'!#REF!</f>
        <v>#REF!</v>
      </c>
      <c r="I15" s="252" t="e">
        <f>+'12. CE Min'!#REF!</f>
        <v>#REF!</v>
      </c>
      <c r="J15" s="252" t="e">
        <f>+'12. CE Min'!#REF!</f>
        <v>#REF!</v>
      </c>
      <c r="K15" s="252" t="e">
        <f>+'12. CE Min'!#REF!</f>
        <v>#REF!</v>
      </c>
      <c r="L15" s="252" t="e">
        <f>+'12. CE Min'!#REF!</f>
        <v>#REF!</v>
      </c>
    </row>
    <row r="16" spans="1:12">
      <c r="A16" s="220" t="s">
        <v>1840</v>
      </c>
      <c r="B16" s="268">
        <f t="shared" si="0"/>
        <v>11</v>
      </c>
      <c r="C16" s="247" t="s">
        <v>1841</v>
      </c>
      <c r="D16" s="252" t="e">
        <f>+'12. CE Min'!#REF!+'12. CE Min'!#REF!</f>
        <v>#REF!</v>
      </c>
      <c r="E16" s="252" t="e">
        <f>+'12. CE Min'!#REF!+'12. CE Min'!#REF!</f>
        <v>#REF!</v>
      </c>
      <c r="F16" s="252" t="e">
        <f>+'12. CE Min'!#REF!+'12. CE Min'!#REF!</f>
        <v>#REF!</v>
      </c>
      <c r="G16" s="252" t="e">
        <f>+'12. CE Min'!#REF!+'12. CE Min'!#REF!</f>
        <v>#REF!</v>
      </c>
      <c r="H16" s="252" t="e">
        <f>+'12. CE Min'!#REF!+'12. CE Min'!#REF!</f>
        <v>#REF!</v>
      </c>
      <c r="I16" s="252" t="e">
        <f>+'12. CE Min'!#REF!+'12. CE Min'!#REF!</f>
        <v>#REF!</v>
      </c>
      <c r="J16" s="252" t="e">
        <f>+'12. CE Min'!#REF!+'12. CE Min'!#REF!</f>
        <v>#REF!</v>
      </c>
      <c r="K16" s="252" t="e">
        <f>+'12. CE Min'!#REF!+'12. CE Min'!#REF!</f>
        <v>#REF!</v>
      </c>
      <c r="L16" s="252" t="e">
        <f>+'12. CE Min'!#REF!+'12. CE Min'!#REF!</f>
        <v>#REF!</v>
      </c>
    </row>
    <row r="17" spans="1:12">
      <c r="A17" s="222" t="s">
        <v>1842</v>
      </c>
      <c r="B17" s="268">
        <f>+B16+1</f>
        <v>12</v>
      </c>
      <c r="C17" s="249" t="s">
        <v>198</v>
      </c>
      <c r="D17" s="252" t="e">
        <f>+'12. CE Min'!#REF!</f>
        <v>#REF!</v>
      </c>
      <c r="E17" s="252" t="e">
        <f>+'12. CE Min'!#REF!</f>
        <v>#REF!</v>
      </c>
      <c r="F17" s="252" t="e">
        <f>+'12. CE Min'!#REF!</f>
        <v>#REF!</v>
      </c>
      <c r="G17" s="252" t="e">
        <f>+'12. CE Min'!#REF!</f>
        <v>#REF!</v>
      </c>
      <c r="H17" s="252" t="e">
        <f>+'12. CE Min'!#REF!</f>
        <v>#REF!</v>
      </c>
      <c r="I17" s="252" t="e">
        <f>+'12. CE Min'!#REF!</f>
        <v>#REF!</v>
      </c>
      <c r="J17" s="252" t="e">
        <f>+'12. CE Min'!#REF!</f>
        <v>#REF!</v>
      </c>
      <c r="K17" s="252" t="e">
        <f>+'12. CE Min'!#REF!</f>
        <v>#REF!</v>
      </c>
      <c r="L17" s="252" t="e">
        <f>+'12. CE Min'!#REF!</f>
        <v>#REF!</v>
      </c>
    </row>
    <row r="18" spans="1:12" ht="65.650000000000006" customHeight="1">
      <c r="A18" s="223" t="s">
        <v>1843</v>
      </c>
      <c r="B18" s="269">
        <f t="shared" si="0"/>
        <v>13</v>
      </c>
      <c r="C18" s="250" t="s">
        <v>1844</v>
      </c>
      <c r="D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18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19" spans="1:12" ht="34.5" thickBot="1">
      <c r="A19" s="224" t="s">
        <v>1845</v>
      </c>
      <c r="B19" s="270" t="s">
        <v>1846</v>
      </c>
      <c r="C19" s="251"/>
      <c r="D19" s="252" t="e">
        <f>D6+D7+D8+D9+D10+D11+D12+D13+D14+D15+D16+D17+D18</f>
        <v>#REF!</v>
      </c>
      <c r="E19" s="252" t="e">
        <f t="shared" ref="E19:L19" si="1">E6+E7+E8+E9+E10+E11+E12+E13+E14+E15+E16+E17+E18</f>
        <v>#REF!</v>
      </c>
      <c r="F19" s="252" t="e">
        <f t="shared" si="1"/>
        <v>#REF!</v>
      </c>
      <c r="G19" s="252" t="e">
        <f t="shared" si="1"/>
        <v>#REF!</v>
      </c>
      <c r="H19" s="252" t="e">
        <f t="shared" si="1"/>
        <v>#REF!</v>
      </c>
      <c r="I19" s="252" t="e">
        <f t="shared" si="1"/>
        <v>#REF!</v>
      </c>
      <c r="J19" s="252" t="e">
        <f t="shared" si="1"/>
        <v>#REF!</v>
      </c>
      <c r="K19" s="252" t="e">
        <f t="shared" si="1"/>
        <v>#REF!</v>
      </c>
      <c r="L19" s="252" t="e">
        <f t="shared" si="1"/>
        <v>#REF!</v>
      </c>
    </row>
    <row r="20" spans="1:12" ht="13.5" thickTop="1">
      <c r="A20" s="225"/>
      <c r="B20" s="271"/>
      <c r="C20" s="226"/>
    </row>
    <row r="21" spans="1:12" ht="13.5" thickBot="1">
      <c r="A21" s="227"/>
      <c r="B21" s="272"/>
      <c r="C21" s="228"/>
    </row>
    <row r="22" spans="1:12" ht="23.65" customHeight="1" thickTop="1">
      <c r="A22" s="774" t="s">
        <v>1847</v>
      </c>
      <c r="B22" s="264"/>
      <c r="C22" s="779" t="s">
        <v>1824</v>
      </c>
      <c r="D22" s="772" t="s">
        <v>1815</v>
      </c>
      <c r="E22" s="772" t="s">
        <v>1816</v>
      </c>
      <c r="F22" s="773" t="s">
        <v>1817</v>
      </c>
      <c r="G22" s="773"/>
      <c r="H22" s="772" t="s">
        <v>1811</v>
      </c>
      <c r="I22" s="772" t="s">
        <v>1812</v>
      </c>
      <c r="J22" s="772" t="s">
        <v>1813</v>
      </c>
      <c r="K22" s="772" t="s">
        <v>1809</v>
      </c>
      <c r="L22" s="772" t="s">
        <v>1810</v>
      </c>
    </row>
    <row r="23" spans="1:12" ht="28.9" customHeight="1">
      <c r="A23" s="775"/>
      <c r="B23" s="265"/>
      <c r="C23" s="780"/>
      <c r="D23" s="772"/>
      <c r="E23" s="772"/>
      <c r="F23" s="772" t="s">
        <v>1818</v>
      </c>
      <c r="G23" s="772" t="s">
        <v>1819</v>
      </c>
      <c r="H23" s="772"/>
      <c r="I23" s="772"/>
      <c r="J23" s="772"/>
      <c r="K23" s="772"/>
      <c r="L23" s="772"/>
    </row>
    <row r="24" spans="1:12" ht="28.15" customHeight="1">
      <c r="A24" s="217" t="s">
        <v>1825</v>
      </c>
      <c r="B24" s="273"/>
      <c r="C24" s="781"/>
      <c r="D24" s="772"/>
      <c r="E24" s="772"/>
      <c r="F24" s="772"/>
      <c r="G24" s="772"/>
      <c r="H24" s="772"/>
      <c r="I24" s="772"/>
      <c r="J24" s="772"/>
      <c r="K24" s="772"/>
      <c r="L24" s="772"/>
    </row>
    <row r="25" spans="1:12" ht="22.5">
      <c r="A25" s="229" t="s">
        <v>1848</v>
      </c>
      <c r="B25" s="274" t="s">
        <v>1849</v>
      </c>
      <c r="C25" s="253"/>
      <c r="D25" s="252" t="e">
        <f>+D26+D27+D28+D29+D30</f>
        <v>#REF!</v>
      </c>
      <c r="E25" s="252" t="e">
        <f t="shared" ref="E25:L25" si="2">+E26+E27+E28+E29+E30</f>
        <v>#REF!</v>
      </c>
      <c r="F25" s="252" t="e">
        <f t="shared" si="2"/>
        <v>#REF!</v>
      </c>
      <c r="G25" s="252" t="e">
        <f t="shared" si="2"/>
        <v>#REF!</v>
      </c>
      <c r="H25" s="252" t="e">
        <f t="shared" si="2"/>
        <v>#REF!</v>
      </c>
      <c r="I25" s="252" t="e">
        <f t="shared" si="2"/>
        <v>#REF!</v>
      </c>
      <c r="J25" s="252" t="e">
        <f t="shared" si="2"/>
        <v>#REF!</v>
      </c>
      <c r="K25" s="252" t="e">
        <f t="shared" si="2"/>
        <v>#REF!</v>
      </c>
      <c r="L25" s="252" t="e">
        <f t="shared" si="2"/>
        <v>#REF!</v>
      </c>
    </row>
    <row r="26" spans="1:12">
      <c r="A26" s="230" t="s">
        <v>1850</v>
      </c>
      <c r="B26" s="231" t="s">
        <v>1851</v>
      </c>
      <c r="C26" s="254" t="s">
        <v>905</v>
      </c>
      <c r="D26" s="252" t="e">
        <f>+'12. CE Min'!#REF!</f>
        <v>#REF!</v>
      </c>
      <c r="E26" s="252" t="e">
        <f>+'12. CE Min'!#REF!</f>
        <v>#REF!</v>
      </c>
      <c r="F26" s="252" t="e">
        <f>+'12. CE Min'!#REF!</f>
        <v>#REF!</v>
      </c>
      <c r="G26" s="252" t="e">
        <f>+'12. CE Min'!#REF!</f>
        <v>#REF!</v>
      </c>
      <c r="H26" s="252" t="e">
        <f>+'12. CE Min'!#REF!</f>
        <v>#REF!</v>
      </c>
      <c r="I26" s="252" t="e">
        <f>+'12. CE Min'!#REF!</f>
        <v>#REF!</v>
      </c>
      <c r="J26" s="252" t="e">
        <f>+'12. CE Min'!#REF!</f>
        <v>#REF!</v>
      </c>
      <c r="K26" s="252" t="e">
        <f>+'12. CE Min'!#REF!</f>
        <v>#REF!</v>
      </c>
      <c r="L26" s="252" t="e">
        <f>+'12. CE Min'!#REF!</f>
        <v>#REF!</v>
      </c>
    </row>
    <row r="27" spans="1:12">
      <c r="A27" s="230" t="s">
        <v>1852</v>
      </c>
      <c r="B27" s="231" t="s">
        <v>1853</v>
      </c>
      <c r="C27" s="254" t="s">
        <v>921</v>
      </c>
      <c r="D27" s="252" t="e">
        <f>+'12. CE Min'!#REF!</f>
        <v>#REF!</v>
      </c>
      <c r="E27" s="252" t="e">
        <f>+'12. CE Min'!#REF!</f>
        <v>#REF!</v>
      </c>
      <c r="F27" s="252" t="e">
        <f>+'12. CE Min'!#REF!</f>
        <v>#REF!</v>
      </c>
      <c r="G27" s="252" t="e">
        <f>+'12. CE Min'!#REF!</f>
        <v>#REF!</v>
      </c>
      <c r="H27" s="252" t="e">
        <f>+'12. CE Min'!#REF!</f>
        <v>#REF!</v>
      </c>
      <c r="I27" s="252" t="e">
        <f>+'12. CE Min'!#REF!</f>
        <v>#REF!</v>
      </c>
      <c r="J27" s="252" t="e">
        <f>+'12. CE Min'!#REF!</f>
        <v>#REF!</v>
      </c>
      <c r="K27" s="252" t="e">
        <f>+'12. CE Min'!#REF!</f>
        <v>#REF!</v>
      </c>
      <c r="L27" s="252" t="e">
        <f>+'12. CE Min'!#REF!</f>
        <v>#REF!</v>
      </c>
    </row>
    <row r="28" spans="1:12">
      <c r="A28" s="230" t="s">
        <v>1854</v>
      </c>
      <c r="B28" s="231" t="s">
        <v>1855</v>
      </c>
      <c r="C28" s="254" t="s">
        <v>932</v>
      </c>
      <c r="D28" s="252" t="e">
        <f>+'12. CE Min'!#REF!</f>
        <v>#REF!</v>
      </c>
      <c r="E28" s="252" t="e">
        <f>+'12. CE Min'!#REF!</f>
        <v>#REF!</v>
      </c>
      <c r="F28" s="252" t="e">
        <f>+'12. CE Min'!#REF!</f>
        <v>#REF!</v>
      </c>
      <c r="G28" s="252" t="e">
        <f>+'12. CE Min'!#REF!</f>
        <v>#REF!</v>
      </c>
      <c r="H28" s="252" t="e">
        <f>+'12. CE Min'!#REF!</f>
        <v>#REF!</v>
      </c>
      <c r="I28" s="252" t="e">
        <f>+'12. CE Min'!#REF!</f>
        <v>#REF!</v>
      </c>
      <c r="J28" s="252" t="e">
        <f>+'12. CE Min'!#REF!</f>
        <v>#REF!</v>
      </c>
      <c r="K28" s="252" t="e">
        <f>+'12. CE Min'!#REF!</f>
        <v>#REF!</v>
      </c>
      <c r="L28" s="252" t="e">
        <f>+'12. CE Min'!#REF!</f>
        <v>#REF!</v>
      </c>
    </row>
    <row r="29" spans="1:12">
      <c r="A29" s="230" t="s">
        <v>1856</v>
      </c>
      <c r="B29" s="231" t="s">
        <v>1857</v>
      </c>
      <c r="C29" s="254" t="s">
        <v>943</v>
      </c>
      <c r="D29" s="252" t="e">
        <f>+'12. CE Min'!#REF!</f>
        <v>#REF!</v>
      </c>
      <c r="E29" s="252" t="e">
        <f>+'12. CE Min'!#REF!</f>
        <v>#REF!</v>
      </c>
      <c r="F29" s="252" t="e">
        <f>+'12. CE Min'!#REF!</f>
        <v>#REF!</v>
      </c>
      <c r="G29" s="252" t="e">
        <f>+'12. CE Min'!#REF!</f>
        <v>#REF!</v>
      </c>
      <c r="H29" s="252" t="e">
        <f>+'12. CE Min'!#REF!</f>
        <v>#REF!</v>
      </c>
      <c r="I29" s="252" t="e">
        <f>+'12. CE Min'!#REF!</f>
        <v>#REF!</v>
      </c>
      <c r="J29" s="252" t="e">
        <f>+'12. CE Min'!#REF!</f>
        <v>#REF!</v>
      </c>
      <c r="K29" s="252" t="e">
        <f>+'12. CE Min'!#REF!</f>
        <v>#REF!</v>
      </c>
      <c r="L29" s="252" t="e">
        <f>+'12. CE Min'!#REF!</f>
        <v>#REF!</v>
      </c>
    </row>
    <row r="30" spans="1:12">
      <c r="A30" s="232" t="s">
        <v>1858</v>
      </c>
      <c r="B30" s="231" t="s">
        <v>1859</v>
      </c>
      <c r="C30" s="254" t="s">
        <v>1860</v>
      </c>
      <c r="D30" s="252" t="e">
        <f>+'12. CE Min'!#REF!+'12. CE Min'!#REF!</f>
        <v>#REF!</v>
      </c>
      <c r="E30" s="252" t="e">
        <f>+'12. CE Min'!#REF!+'12. CE Min'!#REF!</f>
        <v>#REF!</v>
      </c>
      <c r="F30" s="252" t="e">
        <f>+'12. CE Min'!#REF!+'12. CE Min'!#REF!</f>
        <v>#REF!</v>
      </c>
      <c r="G30" s="252" t="e">
        <f>+'12. CE Min'!#REF!+'12. CE Min'!#REF!</f>
        <v>#REF!</v>
      </c>
      <c r="H30" s="252" t="e">
        <f>+'12. CE Min'!#REF!+'12. CE Min'!#REF!</f>
        <v>#REF!</v>
      </c>
      <c r="I30" s="252" t="e">
        <f>+'12. CE Min'!#REF!+'12. CE Min'!#REF!</f>
        <v>#REF!</v>
      </c>
      <c r="J30" s="252" t="e">
        <f>+'12. CE Min'!#REF!+'12. CE Min'!#REF!</f>
        <v>#REF!</v>
      </c>
      <c r="K30" s="252" t="e">
        <f>+'12. CE Min'!#REF!+'12. CE Min'!#REF!</f>
        <v>#REF!</v>
      </c>
      <c r="L30" s="252" t="e">
        <f>+'12. CE Min'!#REF!+'12. CE Min'!#REF!</f>
        <v>#REF!</v>
      </c>
    </row>
    <row r="31" spans="1:12">
      <c r="A31" s="233" t="s">
        <v>1861</v>
      </c>
      <c r="B31" s="275">
        <v>16</v>
      </c>
      <c r="C31" s="255" t="s">
        <v>1202</v>
      </c>
      <c r="D31" s="252" t="e">
        <f>+'12. CE Min'!#REF!</f>
        <v>#REF!</v>
      </c>
      <c r="E31" s="252" t="e">
        <f>+'12. CE Min'!#REF!</f>
        <v>#REF!</v>
      </c>
      <c r="F31" s="252" t="e">
        <f>+'12. CE Min'!#REF!</f>
        <v>#REF!</v>
      </c>
      <c r="G31" s="252" t="e">
        <f>+'12. CE Min'!#REF!</f>
        <v>#REF!</v>
      </c>
      <c r="H31" s="252" t="e">
        <f>+'12. CE Min'!#REF!</f>
        <v>#REF!</v>
      </c>
      <c r="I31" s="252" t="e">
        <f>+'12. CE Min'!#REF!</f>
        <v>#REF!</v>
      </c>
      <c r="J31" s="252" t="e">
        <f>+'12. CE Min'!#REF!</f>
        <v>#REF!</v>
      </c>
      <c r="K31" s="252" t="e">
        <f>+'12. CE Min'!#REF!</f>
        <v>#REF!</v>
      </c>
      <c r="L31" s="252" t="e">
        <f>+'12. CE Min'!#REF!</f>
        <v>#REF!</v>
      </c>
    </row>
    <row r="32" spans="1:12">
      <c r="A32" s="233" t="s">
        <v>1862</v>
      </c>
      <c r="B32" s="275" t="s">
        <v>1863</v>
      </c>
      <c r="C32" s="256"/>
      <c r="D32" s="252" t="e">
        <f>+D33+D34</f>
        <v>#REF!</v>
      </c>
      <c r="E32" s="252" t="e">
        <f t="shared" ref="E32:L32" si="3">+E33+E34</f>
        <v>#REF!</v>
      </c>
      <c r="F32" s="252" t="e">
        <f t="shared" si="3"/>
        <v>#REF!</v>
      </c>
      <c r="G32" s="252" t="e">
        <f t="shared" si="3"/>
        <v>#REF!</v>
      </c>
      <c r="H32" s="252" t="e">
        <f t="shared" si="3"/>
        <v>#REF!</v>
      </c>
      <c r="I32" s="252" t="e">
        <f t="shared" si="3"/>
        <v>#REF!</v>
      </c>
      <c r="J32" s="252" t="e">
        <f t="shared" si="3"/>
        <v>#REF!</v>
      </c>
      <c r="K32" s="252" t="e">
        <f t="shared" si="3"/>
        <v>#REF!</v>
      </c>
      <c r="L32" s="252" t="e">
        <f t="shared" si="3"/>
        <v>#REF!</v>
      </c>
    </row>
    <row r="33" spans="1:12" ht="30" customHeight="1">
      <c r="A33" s="234" t="s">
        <v>1864</v>
      </c>
      <c r="B33" s="235" t="s">
        <v>1865</v>
      </c>
      <c r="C33" s="254" t="s">
        <v>1866</v>
      </c>
      <c r="D33" s="252" t="e">
        <f>+'12. CE Min'!#REF!-'12. CE Min'!#REF!-'12. CE Min'!#REF!-'12. CE Min'!#REF!-'12. CE Min'!#REF!</f>
        <v>#REF!</v>
      </c>
      <c r="E33" s="252" t="e">
        <f>+'12. CE Min'!#REF!-'12. CE Min'!#REF!-'12. CE Min'!#REF!-'12. CE Min'!#REF!-'12. CE Min'!#REF!</f>
        <v>#REF!</v>
      </c>
      <c r="F33" s="252" t="e">
        <f>+'12. CE Min'!#REF!-'12. CE Min'!#REF!-'12. CE Min'!#REF!-'12. CE Min'!#REF!-'12. CE Min'!#REF!</f>
        <v>#REF!</v>
      </c>
      <c r="G33" s="252" t="e">
        <f>+'12. CE Min'!#REF!-'12. CE Min'!#REF!-'12. CE Min'!#REF!-'12. CE Min'!#REF!-'12. CE Min'!#REF!</f>
        <v>#REF!</v>
      </c>
      <c r="H33" s="252" t="e">
        <f>+'12. CE Min'!#REF!-'12. CE Min'!#REF!-'12. CE Min'!#REF!-'12. CE Min'!#REF!-'12. CE Min'!#REF!</f>
        <v>#REF!</v>
      </c>
      <c r="I33" s="252" t="e">
        <f>+'12. CE Min'!#REF!-'12. CE Min'!#REF!-'12. CE Min'!#REF!-'12. CE Min'!#REF!-'12. CE Min'!#REF!</f>
        <v>#REF!</v>
      </c>
      <c r="J33" s="252" t="e">
        <f>+'12. CE Min'!#REF!-'12. CE Min'!#REF!-'12. CE Min'!#REF!-'12. CE Min'!#REF!-'12. CE Min'!#REF!</f>
        <v>#REF!</v>
      </c>
      <c r="K33" s="252" t="e">
        <f>+'12. CE Min'!#REF!-'12. CE Min'!#REF!-'12. CE Min'!#REF!-'12. CE Min'!#REF!-'12. CE Min'!#REF!</f>
        <v>#REF!</v>
      </c>
      <c r="L33" s="252" t="e">
        <f>+'12. CE Min'!#REF!-'12. CE Min'!#REF!-'12. CE Min'!#REF!-'12. CE Min'!#REF!-'12. CE Min'!#REF!</f>
        <v>#REF!</v>
      </c>
    </row>
    <row r="34" spans="1:12">
      <c r="A34" s="234" t="s">
        <v>1867</v>
      </c>
      <c r="B34" s="235" t="s">
        <v>1868</v>
      </c>
      <c r="C34" s="255" t="s">
        <v>509</v>
      </c>
      <c r="D34" s="252" t="e">
        <f>+'12. CE Min'!#REF!</f>
        <v>#REF!</v>
      </c>
      <c r="E34" s="252" t="e">
        <f>+'12. CE Min'!#REF!</f>
        <v>#REF!</v>
      </c>
      <c r="F34" s="252" t="e">
        <f>+'12. CE Min'!#REF!</f>
        <v>#REF!</v>
      </c>
      <c r="G34" s="252" t="e">
        <f>+'12. CE Min'!#REF!</f>
        <v>#REF!</v>
      </c>
      <c r="H34" s="252" t="e">
        <f>+'12. CE Min'!#REF!</f>
        <v>#REF!</v>
      </c>
      <c r="I34" s="252" t="e">
        <f>+'12. CE Min'!#REF!</f>
        <v>#REF!</v>
      </c>
      <c r="J34" s="252" t="e">
        <f>+'12. CE Min'!#REF!</f>
        <v>#REF!</v>
      </c>
      <c r="K34" s="252" t="e">
        <f>+'12. CE Min'!#REF!</f>
        <v>#REF!</v>
      </c>
      <c r="L34" s="252" t="e">
        <f>+'12. CE Min'!#REF!</f>
        <v>#REF!</v>
      </c>
    </row>
    <row r="35" spans="1:12">
      <c r="A35" s="233" t="s">
        <v>1869</v>
      </c>
      <c r="B35" s="275" t="s">
        <v>1870</v>
      </c>
      <c r="C35" s="256"/>
      <c r="D35" s="252" t="e">
        <f>+D36+D37</f>
        <v>#REF!</v>
      </c>
      <c r="E35" s="252" t="e">
        <f t="shared" ref="E35:L35" si="4">+E36+E37</f>
        <v>#REF!</v>
      </c>
      <c r="F35" s="252" t="e">
        <f t="shared" si="4"/>
        <v>#REF!</v>
      </c>
      <c r="G35" s="252" t="e">
        <f t="shared" si="4"/>
        <v>#REF!</v>
      </c>
      <c r="H35" s="252" t="e">
        <f t="shared" si="4"/>
        <v>#REF!</v>
      </c>
      <c r="I35" s="252" t="e">
        <f t="shared" si="4"/>
        <v>#REF!</v>
      </c>
      <c r="J35" s="252" t="e">
        <f t="shared" si="4"/>
        <v>#REF!</v>
      </c>
      <c r="K35" s="252" t="e">
        <f t="shared" si="4"/>
        <v>#REF!</v>
      </c>
      <c r="L35" s="252" t="e">
        <f t="shared" si="4"/>
        <v>#REF!</v>
      </c>
    </row>
    <row r="36" spans="1:12">
      <c r="A36" s="234" t="s">
        <v>1871</v>
      </c>
      <c r="B36" s="235" t="s">
        <v>1872</v>
      </c>
      <c r="C36" s="255" t="s">
        <v>1873</v>
      </c>
      <c r="D36" s="252" t="e">
        <f>+'12. CE Min'!#REF!+'12. CE Min'!#REF!-'12. CE Min'!#REF!+'12. CE Min'!#REF!</f>
        <v>#REF!</v>
      </c>
      <c r="E36" s="252" t="e">
        <f>+'12. CE Min'!#REF!+'12. CE Min'!#REF!-'12. CE Min'!#REF!+'12. CE Min'!#REF!</f>
        <v>#REF!</v>
      </c>
      <c r="F36" s="252" t="e">
        <f>+'12. CE Min'!#REF!+'12. CE Min'!#REF!-'12. CE Min'!#REF!+'12. CE Min'!#REF!</f>
        <v>#REF!</v>
      </c>
      <c r="G36" s="252" t="e">
        <f>+'12. CE Min'!#REF!+'12. CE Min'!#REF!-'12. CE Min'!#REF!+'12. CE Min'!#REF!</f>
        <v>#REF!</v>
      </c>
      <c r="H36" s="252" t="e">
        <f>+'12. CE Min'!#REF!+'12. CE Min'!#REF!-'12. CE Min'!#REF!+'12. CE Min'!#REF!</f>
        <v>#REF!</v>
      </c>
      <c r="I36" s="252" t="e">
        <f>+'12. CE Min'!#REF!+'12. CE Min'!#REF!-'12. CE Min'!#REF!+'12. CE Min'!#REF!</f>
        <v>#REF!</v>
      </c>
      <c r="J36" s="252" t="e">
        <f>+'12. CE Min'!#REF!+'12. CE Min'!#REF!-'12. CE Min'!#REF!+'12. CE Min'!#REF!</f>
        <v>#REF!</v>
      </c>
      <c r="K36" s="252" t="e">
        <f>+'12. CE Min'!#REF!+'12. CE Min'!#REF!-'12. CE Min'!#REF!+'12. CE Min'!#REF!</f>
        <v>#REF!</v>
      </c>
      <c r="L36" s="252" t="e">
        <f>+'12. CE Min'!#REF!+'12. CE Min'!#REF!-'12. CE Min'!#REF!+'12. CE Min'!#REF!</f>
        <v>#REF!</v>
      </c>
    </row>
    <row r="37" spans="1:12" ht="33.6" customHeight="1">
      <c r="A37" s="234" t="s">
        <v>1874</v>
      </c>
      <c r="B37" s="235" t="s">
        <v>1875</v>
      </c>
      <c r="C37" s="254" t="s">
        <v>1876</v>
      </c>
      <c r="D37" s="252" t="e">
        <f>+'12. CE Min'!#REF!+'12. CE Min'!#REF!+'12. CE Min'!#REF!+'12. CE Min'!#REF!+'12. CE Min'!#REF!-'12. CE Min'!#REF!+'12. CE Min'!#REF!</f>
        <v>#REF!</v>
      </c>
      <c r="E37" s="252" t="e">
        <f>+'12. CE Min'!#REF!+'12. CE Min'!#REF!+'12. CE Min'!#REF!+'12. CE Min'!#REF!+'12. CE Min'!#REF!-'12. CE Min'!#REF!+'12. CE Min'!#REF!</f>
        <v>#REF!</v>
      </c>
      <c r="F37" s="252" t="e">
        <f>+'12. CE Min'!#REF!+'12. CE Min'!#REF!+'12. CE Min'!#REF!+'12. CE Min'!#REF!+'12. CE Min'!#REF!-'12. CE Min'!#REF!+'12. CE Min'!#REF!</f>
        <v>#REF!</v>
      </c>
      <c r="G37" s="252" t="e">
        <f>+'12. CE Min'!#REF!+'12. CE Min'!#REF!+'12. CE Min'!#REF!+'12. CE Min'!#REF!+'12. CE Min'!#REF!-'12. CE Min'!#REF!+'12. CE Min'!#REF!</f>
        <v>#REF!</v>
      </c>
      <c r="H37" s="252" t="e">
        <f>+'12. CE Min'!#REF!+'12. CE Min'!#REF!+'12. CE Min'!#REF!+'12. CE Min'!#REF!+'12. CE Min'!#REF!-'12. CE Min'!#REF!+'12. CE Min'!#REF!</f>
        <v>#REF!</v>
      </c>
      <c r="I37" s="252" t="e">
        <f>+'12. CE Min'!#REF!+'12. CE Min'!#REF!+'12. CE Min'!#REF!+'12. CE Min'!#REF!+'12. CE Min'!#REF!-'12. CE Min'!#REF!+'12. CE Min'!#REF!</f>
        <v>#REF!</v>
      </c>
      <c r="J37" s="252" t="e">
        <f>+'12. CE Min'!#REF!+'12. CE Min'!#REF!+'12. CE Min'!#REF!+'12. CE Min'!#REF!+'12. CE Min'!#REF!-'12. CE Min'!#REF!+'12. CE Min'!#REF!</f>
        <v>#REF!</v>
      </c>
      <c r="K37" s="252" t="e">
        <f>+'12. CE Min'!#REF!+'12. CE Min'!#REF!+'12. CE Min'!#REF!+'12. CE Min'!#REF!+'12. CE Min'!#REF!-'12. CE Min'!#REF!+'12. CE Min'!#REF!</f>
        <v>#REF!</v>
      </c>
      <c r="L37" s="252" t="e">
        <f>+'12. CE Min'!#REF!+'12. CE Min'!#REF!+'12. CE Min'!#REF!+'12. CE Min'!#REF!+'12. CE Min'!#REF!-'12. CE Min'!#REF!+'12. CE Min'!#REF!</f>
        <v>#REF!</v>
      </c>
    </row>
    <row r="38" spans="1:12" ht="22.5">
      <c r="A38" s="236" t="s">
        <v>1877</v>
      </c>
      <c r="B38" s="276" t="s">
        <v>1878</v>
      </c>
      <c r="C38" s="256"/>
      <c r="D38" s="252" t="e">
        <f>+D39+D40+D41+D42+D43+D44+D45</f>
        <v>#REF!</v>
      </c>
      <c r="E38" s="252" t="e">
        <f t="shared" ref="E38:L38" si="5">+E39+E40+E41+E42+E43+E44+E45</f>
        <v>#REF!</v>
      </c>
      <c r="F38" s="252" t="e">
        <f t="shared" si="5"/>
        <v>#REF!</v>
      </c>
      <c r="G38" s="252" t="e">
        <f t="shared" si="5"/>
        <v>#REF!</v>
      </c>
      <c r="H38" s="252" t="e">
        <f t="shared" si="5"/>
        <v>#REF!</v>
      </c>
      <c r="I38" s="252" t="e">
        <f t="shared" si="5"/>
        <v>#REF!</v>
      </c>
      <c r="J38" s="252" t="e">
        <f t="shared" si="5"/>
        <v>#REF!</v>
      </c>
      <c r="K38" s="252" t="e">
        <f t="shared" si="5"/>
        <v>#REF!</v>
      </c>
      <c r="L38" s="252" t="e">
        <f t="shared" si="5"/>
        <v>#REF!</v>
      </c>
    </row>
    <row r="39" spans="1:12">
      <c r="A39" s="237" t="s">
        <v>1879</v>
      </c>
      <c r="B39" s="235" t="s">
        <v>1880</v>
      </c>
      <c r="C39" s="255" t="s">
        <v>529</v>
      </c>
      <c r="D39" s="252" t="e">
        <f>+'12. CE Min'!#REF!</f>
        <v>#REF!</v>
      </c>
      <c r="E39" s="252" t="e">
        <f>+'12. CE Min'!#REF!</f>
        <v>#REF!</v>
      </c>
      <c r="F39" s="252" t="e">
        <f>+'12. CE Min'!#REF!</f>
        <v>#REF!</v>
      </c>
      <c r="G39" s="252" t="e">
        <f>+'12. CE Min'!#REF!</f>
        <v>#REF!</v>
      </c>
      <c r="H39" s="252" t="e">
        <f>+'12. CE Min'!#REF!</f>
        <v>#REF!</v>
      </c>
      <c r="I39" s="252" t="e">
        <f>+'12. CE Min'!#REF!</f>
        <v>#REF!</v>
      </c>
      <c r="J39" s="252" t="e">
        <f>+'12. CE Min'!#REF!</f>
        <v>#REF!</v>
      </c>
      <c r="K39" s="252" t="e">
        <f>+'12. CE Min'!#REF!</f>
        <v>#REF!</v>
      </c>
      <c r="L39" s="252" t="e">
        <f>+'12. CE Min'!#REF!</f>
        <v>#REF!</v>
      </c>
    </row>
    <row r="40" spans="1:12">
      <c r="A40" s="237" t="s">
        <v>1881</v>
      </c>
      <c r="B40" s="235" t="s">
        <v>1882</v>
      </c>
      <c r="C40" s="255" t="s">
        <v>1883</v>
      </c>
      <c r="D40" s="252" t="e">
        <f>+'12. CE Min'!#REF!</f>
        <v>#REF!</v>
      </c>
      <c r="E40" s="252" t="e">
        <f>+'12. CE Min'!#REF!</f>
        <v>#REF!</v>
      </c>
      <c r="F40" s="252" t="e">
        <f>+'12. CE Min'!#REF!</f>
        <v>#REF!</v>
      </c>
      <c r="G40" s="252" t="e">
        <f>+'12. CE Min'!#REF!</f>
        <v>#REF!</v>
      </c>
      <c r="H40" s="252" t="e">
        <f>+'12. CE Min'!#REF!</f>
        <v>#REF!</v>
      </c>
      <c r="I40" s="252" t="e">
        <f>+'12. CE Min'!#REF!</f>
        <v>#REF!</v>
      </c>
      <c r="J40" s="252" t="e">
        <f>+'12. CE Min'!#REF!</f>
        <v>#REF!</v>
      </c>
      <c r="K40" s="252" t="e">
        <f>+'12. CE Min'!#REF!</f>
        <v>#REF!</v>
      </c>
      <c r="L40" s="252" t="e">
        <f>+'12. CE Min'!#REF!</f>
        <v>#REF!</v>
      </c>
    </row>
    <row r="41" spans="1:12">
      <c r="A41" s="238" t="s">
        <v>1884</v>
      </c>
      <c r="B41" s="235" t="s">
        <v>1885</v>
      </c>
      <c r="C41" s="255" t="s">
        <v>1886</v>
      </c>
      <c r="D41" s="252" t="e">
        <f>+'12. CE Min'!#REF!</f>
        <v>#REF!</v>
      </c>
      <c r="E41" s="252" t="e">
        <f>+'12. CE Min'!#REF!</f>
        <v>#REF!</v>
      </c>
      <c r="F41" s="252" t="e">
        <f>+'12. CE Min'!#REF!</f>
        <v>#REF!</v>
      </c>
      <c r="G41" s="252" t="e">
        <f>+'12. CE Min'!#REF!</f>
        <v>#REF!</v>
      </c>
      <c r="H41" s="252" t="e">
        <f>+'12. CE Min'!#REF!</f>
        <v>#REF!</v>
      </c>
      <c r="I41" s="252" t="e">
        <f>+'12. CE Min'!#REF!</f>
        <v>#REF!</v>
      </c>
      <c r="J41" s="252" t="e">
        <f>+'12. CE Min'!#REF!</f>
        <v>#REF!</v>
      </c>
      <c r="K41" s="252" t="e">
        <f>+'12. CE Min'!#REF!</f>
        <v>#REF!</v>
      </c>
      <c r="L41" s="252" t="e">
        <f>+'12. CE Min'!#REF!</f>
        <v>#REF!</v>
      </c>
    </row>
    <row r="42" spans="1:12">
      <c r="A42" s="237" t="s">
        <v>1887</v>
      </c>
      <c r="B42" s="235" t="s">
        <v>1888</v>
      </c>
      <c r="C42" s="255" t="s">
        <v>1889</v>
      </c>
      <c r="D42" s="252" t="e">
        <f>+'12. CE Min'!#REF!+'12. CE Min'!#REF!</f>
        <v>#REF!</v>
      </c>
      <c r="E42" s="252" t="e">
        <f>+'12. CE Min'!#REF!+'12. CE Min'!#REF!</f>
        <v>#REF!</v>
      </c>
      <c r="F42" s="252" t="e">
        <f>+'12. CE Min'!#REF!+'12. CE Min'!#REF!</f>
        <v>#REF!</v>
      </c>
      <c r="G42" s="252" t="e">
        <f>+'12. CE Min'!#REF!+'12. CE Min'!#REF!</f>
        <v>#REF!</v>
      </c>
      <c r="H42" s="252" t="e">
        <f>+'12. CE Min'!#REF!+'12. CE Min'!#REF!</f>
        <v>#REF!</v>
      </c>
      <c r="I42" s="252" t="e">
        <f>+'12. CE Min'!#REF!+'12. CE Min'!#REF!</f>
        <v>#REF!</v>
      </c>
      <c r="J42" s="252" t="e">
        <f>+'12. CE Min'!#REF!+'12. CE Min'!#REF!</f>
        <v>#REF!</v>
      </c>
      <c r="K42" s="252" t="e">
        <f>+'12. CE Min'!#REF!+'12. CE Min'!#REF!</f>
        <v>#REF!</v>
      </c>
      <c r="L42" s="252" t="e">
        <f>+'12. CE Min'!#REF!+'12. CE Min'!#REF!</f>
        <v>#REF!</v>
      </c>
    </row>
    <row r="43" spans="1:12">
      <c r="A43" s="237" t="s">
        <v>1890</v>
      </c>
      <c r="B43" s="235" t="s">
        <v>1891</v>
      </c>
      <c r="C43" s="255" t="s">
        <v>1892</v>
      </c>
      <c r="D43" s="252" t="e">
        <f>+'12. CE Min'!#REF!+'12. CE Min'!#REF!</f>
        <v>#REF!</v>
      </c>
      <c r="E43" s="252" t="e">
        <f>+'12. CE Min'!#REF!+'12. CE Min'!#REF!</f>
        <v>#REF!</v>
      </c>
      <c r="F43" s="252" t="e">
        <f>+'12. CE Min'!#REF!+'12. CE Min'!#REF!</f>
        <v>#REF!</v>
      </c>
      <c r="G43" s="252" t="e">
        <f>+'12. CE Min'!#REF!+'12. CE Min'!#REF!</f>
        <v>#REF!</v>
      </c>
      <c r="H43" s="252" t="e">
        <f>+'12. CE Min'!#REF!+'12. CE Min'!#REF!</f>
        <v>#REF!</v>
      </c>
      <c r="I43" s="252" t="e">
        <f>+'12. CE Min'!#REF!+'12. CE Min'!#REF!</f>
        <v>#REF!</v>
      </c>
      <c r="J43" s="252" t="e">
        <f>+'12. CE Min'!#REF!+'12. CE Min'!#REF!</f>
        <v>#REF!</v>
      </c>
      <c r="K43" s="252" t="e">
        <f>+'12. CE Min'!#REF!+'12. CE Min'!#REF!</f>
        <v>#REF!</v>
      </c>
      <c r="L43" s="252" t="e">
        <f>+'12. CE Min'!#REF!+'12. CE Min'!#REF!</f>
        <v>#REF!</v>
      </c>
    </row>
    <row r="44" spans="1:12">
      <c r="A44" s="237" t="s">
        <v>1893</v>
      </c>
      <c r="B44" s="235" t="s">
        <v>1894</v>
      </c>
      <c r="C44" s="255" t="s">
        <v>1895</v>
      </c>
      <c r="D44" s="252" t="e">
        <f>+'12. CE Min'!#REF!+'12. CE Min'!#REF!</f>
        <v>#REF!</v>
      </c>
      <c r="E44" s="252" t="e">
        <f>+'12. CE Min'!#REF!+'12. CE Min'!#REF!</f>
        <v>#REF!</v>
      </c>
      <c r="F44" s="252" t="e">
        <f>+'12. CE Min'!#REF!+'12. CE Min'!#REF!</f>
        <v>#REF!</v>
      </c>
      <c r="G44" s="252" t="e">
        <f>+'12. CE Min'!#REF!+'12. CE Min'!#REF!</f>
        <v>#REF!</v>
      </c>
      <c r="H44" s="252" t="e">
        <f>+'12. CE Min'!#REF!+'12. CE Min'!#REF!</f>
        <v>#REF!</v>
      </c>
      <c r="I44" s="252" t="e">
        <f>+'12. CE Min'!#REF!+'12. CE Min'!#REF!</f>
        <v>#REF!</v>
      </c>
      <c r="J44" s="252" t="e">
        <f>+'12. CE Min'!#REF!+'12. CE Min'!#REF!</f>
        <v>#REF!</v>
      </c>
      <c r="K44" s="252" t="e">
        <f>+'12. CE Min'!#REF!+'12. CE Min'!#REF!</f>
        <v>#REF!</v>
      </c>
      <c r="L44" s="252" t="e">
        <f>+'12. CE Min'!#REF!+'12. CE Min'!#REF!</f>
        <v>#REF!</v>
      </c>
    </row>
    <row r="45" spans="1:12" ht="82.9" customHeight="1">
      <c r="A45" s="237" t="s">
        <v>1896</v>
      </c>
      <c r="B45" s="235" t="s">
        <v>1897</v>
      </c>
      <c r="C45" s="254" t="s">
        <v>1898</v>
      </c>
      <c r="D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45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46" spans="1:12" ht="72" customHeight="1">
      <c r="A46" s="239" t="s">
        <v>1899</v>
      </c>
      <c r="B46" s="275">
        <v>20</v>
      </c>
      <c r="C46" s="254" t="s">
        <v>1900</v>
      </c>
      <c r="D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46" s="252" t="e">
        <f>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47" spans="1:12">
      <c r="A47" s="236" t="s">
        <v>1901</v>
      </c>
      <c r="B47" s="275">
        <v>21</v>
      </c>
      <c r="C47" s="255" t="s">
        <v>1078</v>
      </c>
      <c r="D47" s="252" t="e">
        <f>+'12. CE Min'!#REF!</f>
        <v>#REF!</v>
      </c>
      <c r="E47" s="252" t="e">
        <f>+'12. CE Min'!#REF!</f>
        <v>#REF!</v>
      </c>
      <c r="F47" s="252" t="e">
        <f>+'12. CE Min'!#REF!</f>
        <v>#REF!</v>
      </c>
      <c r="G47" s="252" t="e">
        <f>+'12. CE Min'!#REF!</f>
        <v>#REF!</v>
      </c>
      <c r="H47" s="252" t="e">
        <f>+'12. CE Min'!#REF!</f>
        <v>#REF!</v>
      </c>
      <c r="I47" s="252" t="e">
        <f>+'12. CE Min'!#REF!</f>
        <v>#REF!</v>
      </c>
      <c r="J47" s="252" t="e">
        <f>+'12. CE Min'!#REF!</f>
        <v>#REF!</v>
      </c>
      <c r="K47" s="252" t="e">
        <f>+'12. CE Min'!#REF!</f>
        <v>#REF!</v>
      </c>
      <c r="L47" s="252" t="e">
        <f>+'12. CE Min'!#REF!</f>
        <v>#REF!</v>
      </c>
    </row>
    <row r="48" spans="1:12">
      <c r="A48" s="236" t="s">
        <v>1902</v>
      </c>
      <c r="B48" s="275">
        <v>22</v>
      </c>
      <c r="C48" s="257" t="s">
        <v>1903</v>
      </c>
      <c r="D48" s="252" t="e">
        <f>+'12. CE Min'!#REF!+'12. CE Min'!#REF!</f>
        <v>#REF!</v>
      </c>
      <c r="E48" s="252" t="e">
        <f>+'12. CE Min'!#REF!+'12. CE Min'!#REF!</f>
        <v>#REF!</v>
      </c>
      <c r="F48" s="252" t="e">
        <f>+'12. CE Min'!#REF!+'12. CE Min'!#REF!</f>
        <v>#REF!</v>
      </c>
      <c r="G48" s="252" t="e">
        <f>+'12. CE Min'!#REF!+'12. CE Min'!#REF!</f>
        <v>#REF!</v>
      </c>
      <c r="H48" s="252" t="e">
        <f>+'12. CE Min'!#REF!+'12. CE Min'!#REF!</f>
        <v>#REF!</v>
      </c>
      <c r="I48" s="252" t="e">
        <f>+'12. CE Min'!#REF!+'12. CE Min'!#REF!</f>
        <v>#REF!</v>
      </c>
      <c r="J48" s="252" t="e">
        <f>+'12. CE Min'!#REF!+'12. CE Min'!#REF!</f>
        <v>#REF!</v>
      </c>
      <c r="K48" s="252" t="e">
        <f>+'12. CE Min'!#REF!+'12. CE Min'!#REF!</f>
        <v>#REF!</v>
      </c>
      <c r="L48" s="252" t="e">
        <f>+'12. CE Min'!#REF!+'12. CE Min'!#REF!</f>
        <v>#REF!</v>
      </c>
    </row>
    <row r="49" spans="1:12">
      <c r="A49" s="236" t="s">
        <v>1904</v>
      </c>
      <c r="B49" s="275">
        <v>23</v>
      </c>
      <c r="C49" s="257" t="s">
        <v>1905</v>
      </c>
      <c r="D49" s="252" t="e">
        <f>+'12. CE Min'!#REF!+'12. CE Min'!#REF!+'12. CE Min'!#REF!</f>
        <v>#REF!</v>
      </c>
      <c r="E49" s="252" t="e">
        <f>+'12. CE Min'!#REF!+'12. CE Min'!#REF!+'12. CE Min'!#REF!</f>
        <v>#REF!</v>
      </c>
      <c r="F49" s="252" t="e">
        <f>+'12. CE Min'!#REF!+'12. CE Min'!#REF!+'12. CE Min'!#REF!</f>
        <v>#REF!</v>
      </c>
      <c r="G49" s="252" t="e">
        <f>+'12. CE Min'!#REF!+'12. CE Min'!#REF!+'12. CE Min'!#REF!</f>
        <v>#REF!</v>
      </c>
      <c r="H49" s="252" t="e">
        <f>+'12. CE Min'!#REF!+'12. CE Min'!#REF!+'12. CE Min'!#REF!</f>
        <v>#REF!</v>
      </c>
      <c r="I49" s="252" t="e">
        <f>+'12. CE Min'!#REF!+'12. CE Min'!#REF!+'12. CE Min'!#REF!</f>
        <v>#REF!</v>
      </c>
      <c r="J49" s="252" t="e">
        <f>+'12. CE Min'!#REF!+'12. CE Min'!#REF!+'12. CE Min'!#REF!</f>
        <v>#REF!</v>
      </c>
      <c r="K49" s="252" t="e">
        <f>+'12. CE Min'!#REF!+'12. CE Min'!#REF!+'12. CE Min'!#REF!</f>
        <v>#REF!</v>
      </c>
      <c r="L49" s="252" t="e">
        <f>+'12. CE Min'!#REF!+'12. CE Min'!#REF!+'12. CE Min'!#REF!</f>
        <v>#REF!</v>
      </c>
    </row>
    <row r="50" spans="1:12">
      <c r="A50" s="240" t="s">
        <v>1906</v>
      </c>
      <c r="B50" s="275">
        <v>24</v>
      </c>
      <c r="C50" s="258" t="s">
        <v>1643</v>
      </c>
      <c r="D50" s="252" t="e">
        <f>+'12. CE Min'!#REF!</f>
        <v>#REF!</v>
      </c>
      <c r="E50" s="252" t="e">
        <f>+'12. CE Min'!#REF!</f>
        <v>#REF!</v>
      </c>
      <c r="F50" s="252" t="e">
        <f>+'12. CE Min'!#REF!</f>
        <v>#REF!</v>
      </c>
      <c r="G50" s="252" t="e">
        <f>+'12. CE Min'!#REF!</f>
        <v>#REF!</v>
      </c>
      <c r="H50" s="252" t="e">
        <f>+'12. CE Min'!#REF!</f>
        <v>#REF!</v>
      </c>
      <c r="I50" s="252" t="e">
        <f>+'12. CE Min'!#REF!</f>
        <v>#REF!</v>
      </c>
      <c r="J50" s="252" t="e">
        <f>+'12. CE Min'!#REF!</f>
        <v>#REF!</v>
      </c>
      <c r="K50" s="252" t="e">
        <f>+'12. CE Min'!#REF!</f>
        <v>#REF!</v>
      </c>
      <c r="L50" s="252" t="e">
        <f>+'12. CE Min'!#REF!</f>
        <v>#REF!</v>
      </c>
    </row>
    <row r="51" spans="1:12" ht="83.65" customHeight="1">
      <c r="A51" s="241" t="s">
        <v>1907</v>
      </c>
      <c r="B51" s="275">
        <v>25</v>
      </c>
      <c r="C51" s="259" t="s">
        <v>1908</v>
      </c>
      <c r="D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51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52" spans="1:12" ht="78" customHeight="1">
      <c r="A52" s="241" t="s">
        <v>1909</v>
      </c>
      <c r="B52" s="275">
        <v>26</v>
      </c>
      <c r="C52" s="259" t="s">
        <v>1910</v>
      </c>
      <c r="D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E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F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G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H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I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J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K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  <c r="L52" s="252" t="e">
        <f>+'12. CE Min'!#REF!+'12. CE Min'!#REF!+'12. CE Min'!#REF!+'12. CE Min'!#REF!+'12. CE Min'!#REF!+'12. CE Min'!#REF!+'12. CE Min'!#REF!+'12. CE Min'!#REF!+'12. CE Min'!#REF!+'12. CE Min'!#REF!+'12. CE Min'!#REF!+'12. CE Min'!#REF!+'12. CE Min'!#REF!+'12. CE Min'!#REF!</f>
        <v>#REF!</v>
      </c>
    </row>
    <row r="53" spans="1:12" ht="21.6" customHeight="1">
      <c r="A53" s="236" t="s">
        <v>1911</v>
      </c>
      <c r="B53" s="275">
        <v>27</v>
      </c>
      <c r="C53" s="260" t="s">
        <v>1912</v>
      </c>
      <c r="D53" s="252" t="e">
        <f>-'12. CE Min'!#REF!+'12. CE Min'!#REF!+'12. CE Min'!#REF!</f>
        <v>#REF!</v>
      </c>
      <c r="E53" s="252" t="e">
        <f>-'12. CE Min'!#REF!+'12. CE Min'!#REF!+'12. CE Min'!#REF!</f>
        <v>#REF!</v>
      </c>
      <c r="F53" s="252" t="e">
        <f>-'12. CE Min'!#REF!+'12. CE Min'!#REF!+'12. CE Min'!#REF!</f>
        <v>#REF!</v>
      </c>
      <c r="G53" s="252" t="e">
        <f>-'12. CE Min'!#REF!+'12. CE Min'!#REF!+'12. CE Min'!#REF!</f>
        <v>#REF!</v>
      </c>
      <c r="H53" s="252" t="e">
        <f>-'12. CE Min'!#REF!+'12. CE Min'!#REF!+'12. CE Min'!#REF!</f>
        <v>#REF!</v>
      </c>
      <c r="I53" s="252" t="e">
        <f>-'12. CE Min'!#REF!+'12. CE Min'!#REF!+'12. CE Min'!#REF!</f>
        <v>#REF!</v>
      </c>
      <c r="J53" s="252" t="e">
        <f>-'12. CE Min'!#REF!+'12. CE Min'!#REF!+'12. CE Min'!#REF!</f>
        <v>#REF!</v>
      </c>
      <c r="K53" s="252" t="e">
        <f>-'12. CE Min'!#REF!+'12. CE Min'!#REF!+'12. CE Min'!#REF!</f>
        <v>#REF!</v>
      </c>
      <c r="L53" s="252" t="e">
        <f>-'12. CE Min'!#REF!+'12. CE Min'!#REF!+'12. CE Min'!#REF!</f>
        <v>#REF!</v>
      </c>
    </row>
    <row r="54" spans="1:12" ht="34.15" customHeight="1">
      <c r="A54" s="236" t="s">
        <v>1913</v>
      </c>
      <c r="B54" s="275">
        <v>28</v>
      </c>
      <c r="C54" s="261" t="s">
        <v>1914</v>
      </c>
      <c r="D54" s="252" t="e">
        <f>-'12. CE Min'!#REF!+'12. CE Min'!#REF!+'12. CE Min'!#REF!+'12. CE Min'!#REF!</f>
        <v>#REF!</v>
      </c>
      <c r="E54" s="252" t="e">
        <f>-'12. CE Min'!#REF!+'12. CE Min'!#REF!+'12. CE Min'!#REF!+'12. CE Min'!#REF!</f>
        <v>#REF!</v>
      </c>
      <c r="F54" s="252" t="e">
        <f>-'12. CE Min'!#REF!+'12. CE Min'!#REF!+'12. CE Min'!#REF!+'12. CE Min'!#REF!</f>
        <v>#REF!</v>
      </c>
      <c r="G54" s="252" t="e">
        <f>-'12. CE Min'!#REF!+'12. CE Min'!#REF!+'12. CE Min'!#REF!+'12. CE Min'!#REF!</f>
        <v>#REF!</v>
      </c>
      <c r="H54" s="252" t="e">
        <f>-'12. CE Min'!#REF!+'12. CE Min'!#REF!+'12. CE Min'!#REF!+'12. CE Min'!#REF!</f>
        <v>#REF!</v>
      </c>
      <c r="I54" s="252" t="e">
        <f>-'12. CE Min'!#REF!+'12. CE Min'!#REF!+'12. CE Min'!#REF!+'12. CE Min'!#REF!</f>
        <v>#REF!</v>
      </c>
      <c r="J54" s="252" t="e">
        <f>-'12. CE Min'!#REF!+'12. CE Min'!#REF!+'12. CE Min'!#REF!+'12. CE Min'!#REF!</f>
        <v>#REF!</v>
      </c>
      <c r="K54" s="252" t="e">
        <f>-'12. CE Min'!#REF!+'12. CE Min'!#REF!+'12. CE Min'!#REF!+'12. CE Min'!#REF!</f>
        <v>#REF!</v>
      </c>
      <c r="L54" s="252" t="e">
        <f>-'12. CE Min'!#REF!+'12. CE Min'!#REF!+'12. CE Min'!#REF!+'12. CE Min'!#REF!</f>
        <v>#REF!</v>
      </c>
    </row>
    <row r="55" spans="1:12" ht="66.599999999999994" customHeight="1">
      <c r="A55" s="242" t="s">
        <v>1915</v>
      </c>
      <c r="B55" s="277">
        <v>29</v>
      </c>
      <c r="C55" s="262" t="s">
        <v>1916</v>
      </c>
      <c r="D55" s="252" t="e">
        <f>-'12. CE Min'!#REF!-'12. CE Min'!#REF!-'12. CE Min'!#REF!-'12. CE Min'!#REF!-'12. CE Min'!#REF!+'12. CE Min'!#REF!+'12. CE Min'!#REF!+'12. CE Min'!#REF!+'12. CE Min'!#REF!+'12. CE Min'!#REF!</f>
        <v>#REF!</v>
      </c>
      <c r="E55" s="252" t="e">
        <f>-'12. CE Min'!#REF!-'12. CE Min'!#REF!-'12. CE Min'!#REF!-'12. CE Min'!#REF!-'12. CE Min'!#REF!+'12. CE Min'!#REF!+'12. CE Min'!#REF!+'12. CE Min'!#REF!+'12. CE Min'!#REF!+'12. CE Min'!#REF!</f>
        <v>#REF!</v>
      </c>
      <c r="F55" s="252" t="e">
        <f>-'12. CE Min'!#REF!-'12. CE Min'!#REF!-'12. CE Min'!#REF!-'12. CE Min'!#REF!-'12. CE Min'!#REF!+'12. CE Min'!#REF!+'12. CE Min'!#REF!+'12. CE Min'!#REF!+'12. CE Min'!#REF!+'12. CE Min'!#REF!</f>
        <v>#REF!</v>
      </c>
      <c r="G55" s="252" t="e">
        <f>-'12. CE Min'!#REF!-'12. CE Min'!#REF!-'12. CE Min'!#REF!-'12. CE Min'!#REF!-'12. CE Min'!#REF!+'12. CE Min'!#REF!+'12. CE Min'!#REF!+'12. CE Min'!#REF!+'12. CE Min'!#REF!+'12. CE Min'!#REF!</f>
        <v>#REF!</v>
      </c>
      <c r="H55" s="252" t="e">
        <f>-'12. CE Min'!#REF!-'12. CE Min'!#REF!-'12. CE Min'!#REF!-'12. CE Min'!#REF!-'12. CE Min'!#REF!+'12. CE Min'!#REF!+'12. CE Min'!#REF!+'12. CE Min'!#REF!+'12. CE Min'!#REF!+'12. CE Min'!#REF!</f>
        <v>#REF!</v>
      </c>
      <c r="I55" s="252" t="e">
        <f>-'12. CE Min'!#REF!-'12. CE Min'!#REF!-'12. CE Min'!#REF!-'12. CE Min'!#REF!-'12. CE Min'!#REF!+'12. CE Min'!#REF!+'12. CE Min'!#REF!+'12. CE Min'!#REF!+'12. CE Min'!#REF!+'12. CE Min'!#REF!</f>
        <v>#REF!</v>
      </c>
      <c r="J55" s="252" t="e">
        <f>-'12. CE Min'!#REF!-'12. CE Min'!#REF!-'12. CE Min'!#REF!-'12. CE Min'!#REF!-'12. CE Min'!#REF!+'12. CE Min'!#REF!+'12. CE Min'!#REF!+'12. CE Min'!#REF!+'12. CE Min'!#REF!+'12. CE Min'!#REF!</f>
        <v>#REF!</v>
      </c>
      <c r="K55" s="252" t="e">
        <f>-'12. CE Min'!#REF!-'12. CE Min'!#REF!-'12. CE Min'!#REF!-'12. CE Min'!#REF!-'12. CE Min'!#REF!+'12. CE Min'!#REF!+'12. CE Min'!#REF!+'12. CE Min'!#REF!+'12. CE Min'!#REF!+'12. CE Min'!#REF!</f>
        <v>#REF!</v>
      </c>
      <c r="L55" s="252" t="e">
        <f>-'12. CE Min'!#REF!-'12. CE Min'!#REF!-'12. CE Min'!#REF!-'12. CE Min'!#REF!-'12. CE Min'!#REF!+'12. CE Min'!#REF!+'12. CE Min'!#REF!+'12. CE Min'!#REF!+'12. CE Min'!#REF!+'12. CE Min'!#REF!</f>
        <v>#REF!</v>
      </c>
    </row>
    <row r="56" spans="1:12" ht="45.75" thickBot="1">
      <c r="A56" s="243" t="s">
        <v>1917</v>
      </c>
      <c r="B56" s="278" t="s">
        <v>1918</v>
      </c>
      <c r="C56" s="263"/>
      <c r="D56" s="263" t="e">
        <f>+D25+D31+D32+D35+D38+D46+D47+D48+D49+D50+D51+D52+D53+D54+D55</f>
        <v>#REF!</v>
      </c>
      <c r="E56" s="263" t="e">
        <f t="shared" ref="E56:L56" si="6">+E25+E31+E32+E35+E38+E46+E47+E48+E49+E50+E51+E52+E53+E54+E55</f>
        <v>#REF!</v>
      </c>
      <c r="F56" s="263" t="e">
        <f t="shared" si="6"/>
        <v>#REF!</v>
      </c>
      <c r="G56" s="263" t="e">
        <f t="shared" si="6"/>
        <v>#REF!</v>
      </c>
      <c r="H56" s="263" t="e">
        <f t="shared" si="6"/>
        <v>#REF!</v>
      </c>
      <c r="I56" s="263" t="e">
        <f t="shared" si="6"/>
        <v>#REF!</v>
      </c>
      <c r="J56" s="263" t="e">
        <f t="shared" si="6"/>
        <v>#REF!</v>
      </c>
      <c r="K56" s="263" t="e">
        <f t="shared" si="6"/>
        <v>#REF!</v>
      </c>
      <c r="L56" s="263" t="e">
        <f t="shared" si="6"/>
        <v>#REF!</v>
      </c>
    </row>
    <row r="57" spans="1:12" ht="14.25" thickTop="1" thickBot="1">
      <c r="A57" s="216"/>
      <c r="B57" s="279"/>
      <c r="C57" s="216"/>
    </row>
    <row r="58" spans="1:12" ht="19.5" thickTop="1" thickBot="1">
      <c r="A58" s="244" t="s">
        <v>1805</v>
      </c>
      <c r="B58" s="280" t="s">
        <v>1919</v>
      </c>
      <c r="C58" s="245"/>
      <c r="D58" s="245" t="e">
        <f>+D19-D56</f>
        <v>#REF!</v>
      </c>
      <c r="E58" s="245" t="e">
        <f t="shared" ref="E58:L58" si="7">+E19-E56</f>
        <v>#REF!</v>
      </c>
      <c r="F58" s="245" t="e">
        <f t="shared" si="7"/>
        <v>#REF!</v>
      </c>
      <c r="G58" s="245" t="e">
        <f t="shared" si="7"/>
        <v>#REF!</v>
      </c>
      <c r="H58" s="245" t="e">
        <f t="shared" si="7"/>
        <v>#REF!</v>
      </c>
      <c r="I58" s="245" t="e">
        <f t="shared" si="7"/>
        <v>#REF!</v>
      </c>
      <c r="J58" s="245" t="e">
        <f t="shared" si="7"/>
        <v>#REF!</v>
      </c>
      <c r="K58" s="245" t="e">
        <f t="shared" si="7"/>
        <v>#REF!</v>
      </c>
      <c r="L58" s="245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opLeftCell="A75" workbookViewId="0">
      <selection activeCell="K105" sqref="K105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287" customWidth="1"/>
    <col min="8" max="8" width="10.7109375" bestFit="1" customWidth="1"/>
    <col min="9" max="9" width="13.28515625" bestFit="1" customWidth="1"/>
    <col min="10" max="10" width="12.85546875" bestFit="1" customWidth="1"/>
    <col min="11" max="11" width="14.5703125" bestFit="1" customWidth="1"/>
  </cols>
  <sheetData>
    <row r="1" spans="1:11" ht="15.75">
      <c r="A1" s="1"/>
      <c r="B1" s="1"/>
      <c r="C1" s="2"/>
      <c r="D1" s="149"/>
      <c r="E1" s="149"/>
    </row>
    <row r="2" spans="1:11" ht="20.25">
      <c r="A2" s="210" t="s">
        <v>0</v>
      </c>
      <c r="B2" s="198"/>
      <c r="C2" s="198"/>
      <c r="D2" s="150"/>
      <c r="E2" s="150"/>
      <c r="F2" s="199" t="s">
        <v>1</v>
      </c>
      <c r="G2" s="282"/>
      <c r="H2" s="4"/>
    </row>
    <row r="3" spans="1:11" ht="13.5" thickBot="1">
      <c r="A3" s="5"/>
      <c r="B3" s="5"/>
      <c r="C3" s="6"/>
      <c r="D3" s="151"/>
      <c r="E3" s="151"/>
      <c r="F3" s="152"/>
      <c r="G3" s="7"/>
      <c r="H3" s="7"/>
    </row>
    <row r="4" spans="1:11" ht="33" customHeight="1">
      <c r="A4" s="762" t="s">
        <v>1808</v>
      </c>
      <c r="B4" s="763"/>
      <c r="C4" s="764"/>
      <c r="D4" s="767" t="s">
        <v>2579</v>
      </c>
      <c r="E4" s="767" t="s">
        <v>2580</v>
      </c>
      <c r="F4" s="765" t="s">
        <v>2581</v>
      </c>
      <c r="G4" s="766"/>
      <c r="H4" s="8"/>
    </row>
    <row r="5" spans="1:11">
      <c r="A5" s="200"/>
      <c r="B5" s="201"/>
      <c r="C5" s="201"/>
      <c r="D5" s="768"/>
      <c r="E5" s="768"/>
      <c r="F5" s="202" t="s">
        <v>2</v>
      </c>
      <c r="G5" s="332" t="s">
        <v>3</v>
      </c>
      <c r="H5" s="9"/>
    </row>
    <row r="6" spans="1:11">
      <c r="A6" s="10"/>
      <c r="B6" s="11"/>
      <c r="C6" s="12"/>
      <c r="D6" s="153"/>
      <c r="E6" s="153"/>
      <c r="F6" s="154"/>
      <c r="G6" s="136"/>
      <c r="H6" s="13"/>
    </row>
    <row r="7" spans="1:11">
      <c r="A7" s="14" t="s">
        <v>4</v>
      </c>
      <c r="B7" s="5"/>
      <c r="C7" s="15" t="s">
        <v>5</v>
      </c>
      <c r="D7" s="155"/>
      <c r="E7" s="155"/>
      <c r="F7" s="156"/>
      <c r="G7" s="137"/>
      <c r="H7" s="7"/>
    </row>
    <row r="8" spans="1:11">
      <c r="A8" s="14"/>
      <c r="B8" s="5"/>
      <c r="C8" s="16"/>
      <c r="D8" s="157"/>
      <c r="E8" s="157"/>
      <c r="F8" s="156"/>
      <c r="G8" s="137"/>
      <c r="H8" s="7"/>
    </row>
    <row r="9" spans="1:11">
      <c r="A9" s="14">
        <v>1</v>
      </c>
      <c r="B9" s="15" t="s">
        <v>6</v>
      </c>
      <c r="C9" s="15"/>
      <c r="D9" s="158">
        <f t="shared" ref="D9:E9" si="0">D10+D11+D18+D23</f>
        <v>63586077</v>
      </c>
      <c r="E9" s="158">
        <f t="shared" si="0"/>
        <v>44694732</v>
      </c>
      <c r="F9" s="333">
        <f>+D9-E9</f>
        <v>18891345</v>
      </c>
      <c r="G9" s="288">
        <f>+F9/E9</f>
        <v>0.42267498102460932</v>
      </c>
      <c r="H9" s="17"/>
      <c r="J9" s="148"/>
      <c r="K9" s="195"/>
    </row>
    <row r="10" spans="1:11">
      <c r="A10" s="18"/>
      <c r="B10" s="19" t="s">
        <v>7</v>
      </c>
      <c r="C10" s="19"/>
      <c r="D10" s="159">
        <f>+ROUND('12. CE Min'!D6,0)</f>
        <v>54520670</v>
      </c>
      <c r="E10" s="159">
        <f>+ROUND('12. CE Min'!E6,0)</f>
        <v>41335630</v>
      </c>
      <c r="F10" s="160">
        <f t="shared" ref="F10:F35" si="1">+D10-E10</f>
        <v>13185040</v>
      </c>
      <c r="G10" s="138">
        <f t="shared" ref="G10:G35" si="2">+F10/E10</f>
        <v>0.31897517952429899</v>
      </c>
      <c r="H10" s="20"/>
      <c r="J10" s="184"/>
      <c r="K10" s="195"/>
    </row>
    <row r="11" spans="1:11">
      <c r="A11" s="14"/>
      <c r="B11" s="19" t="s">
        <v>8</v>
      </c>
      <c r="C11" s="19"/>
      <c r="D11" s="159">
        <f t="shared" ref="D11:E11" si="3">SUM(D12:D17)</f>
        <v>9065407</v>
      </c>
      <c r="E11" s="159">
        <f t="shared" si="3"/>
        <v>3359102</v>
      </c>
      <c r="F11" s="160">
        <f t="shared" si="1"/>
        <v>5706305</v>
      </c>
      <c r="G11" s="138">
        <f t="shared" si="2"/>
        <v>1.6987590731094204</v>
      </c>
      <c r="H11" s="20"/>
      <c r="J11" s="184"/>
      <c r="K11" s="195"/>
    </row>
    <row r="12" spans="1:11">
      <c r="A12" s="14"/>
      <c r="B12" s="21"/>
      <c r="C12" s="53" t="s">
        <v>9</v>
      </c>
      <c r="D12" s="159">
        <f>+ROUND('12. CE Min'!D17,0)</f>
        <v>6726688</v>
      </c>
      <c r="E12" s="159">
        <f>+ROUND('12. CE Min'!E17,0)</f>
        <v>3300101</v>
      </c>
      <c r="F12" s="161">
        <f t="shared" si="1"/>
        <v>3426587</v>
      </c>
      <c r="G12" s="139">
        <f t="shared" si="2"/>
        <v>1.0383279178425144</v>
      </c>
      <c r="H12" s="22"/>
      <c r="J12" s="184"/>
      <c r="K12" s="195"/>
    </row>
    <row r="13" spans="1:11" ht="22.5">
      <c r="A13" s="18"/>
      <c r="B13" s="21"/>
      <c r="C13" s="53" t="s">
        <v>10</v>
      </c>
      <c r="D13" s="159">
        <f>+ROUND('12. CE Min'!D18,0)</f>
        <v>0</v>
      </c>
      <c r="E13" s="159">
        <f>+ROUND('12. CE Min'!E18,0)</f>
        <v>0</v>
      </c>
      <c r="F13" s="161">
        <f t="shared" si="1"/>
        <v>0</v>
      </c>
      <c r="G13" s="139" t="e">
        <f t="shared" si="2"/>
        <v>#DIV/0!</v>
      </c>
      <c r="H13" s="22"/>
      <c r="J13" s="184"/>
      <c r="K13" s="195"/>
    </row>
    <row r="14" spans="1:11" ht="22.5">
      <c r="A14" s="14"/>
      <c r="B14" s="21"/>
      <c r="C14" s="53" t="s">
        <v>11</v>
      </c>
      <c r="D14" s="159">
        <f>+ROUND('12. CE Min'!D19,0)</f>
        <v>0</v>
      </c>
      <c r="E14" s="159">
        <f>+ROUND('12. CE Min'!E19,0)</f>
        <v>0</v>
      </c>
      <c r="F14" s="161">
        <f t="shared" si="1"/>
        <v>0</v>
      </c>
      <c r="G14" s="139" t="e">
        <f t="shared" si="2"/>
        <v>#DIV/0!</v>
      </c>
      <c r="H14" s="22"/>
      <c r="J14" s="184"/>
      <c r="K14" s="195"/>
    </row>
    <row r="15" spans="1:11">
      <c r="A15" s="18"/>
      <c r="B15" s="21"/>
      <c r="C15" s="53" t="s">
        <v>12</v>
      </c>
      <c r="D15" s="159">
        <f>+ROUND('12. CE Min'!D20,0)</f>
        <v>0</v>
      </c>
      <c r="E15" s="159">
        <f>+ROUND('12. CE Min'!E20,0)</f>
        <v>0</v>
      </c>
      <c r="F15" s="161">
        <f t="shared" si="1"/>
        <v>0</v>
      </c>
      <c r="G15" s="139" t="e">
        <f t="shared" si="2"/>
        <v>#DIV/0!</v>
      </c>
      <c r="H15" s="22"/>
      <c r="J15" s="184"/>
      <c r="K15" s="195"/>
    </row>
    <row r="16" spans="1:11">
      <c r="A16" s="18"/>
      <c r="B16" s="21"/>
      <c r="C16" s="53" t="s">
        <v>13</v>
      </c>
      <c r="D16" s="159">
        <f>+ROUND('12. CE Min'!D21,0)</f>
        <v>0</v>
      </c>
      <c r="E16" s="159">
        <f>+ROUND('12. CE Min'!E21,0)</f>
        <v>0</v>
      </c>
      <c r="F16" s="161">
        <f t="shared" si="1"/>
        <v>0</v>
      </c>
      <c r="G16" s="139" t="e">
        <f t="shared" si="2"/>
        <v>#DIV/0!</v>
      </c>
      <c r="H16" s="22"/>
      <c r="J16" s="184"/>
      <c r="K16" s="195"/>
    </row>
    <row r="17" spans="1:11">
      <c r="A17" s="14"/>
      <c r="B17" s="21"/>
      <c r="C17" s="53" t="s">
        <v>14</v>
      </c>
      <c r="D17" s="159">
        <f>+ROUND('12. CE Min'!D24,0)</f>
        <v>2338719</v>
      </c>
      <c r="E17" s="159">
        <f>+ROUND('12. CE Min'!E24,0)</f>
        <v>59001</v>
      </c>
      <c r="F17" s="161">
        <f t="shared" si="1"/>
        <v>2279718</v>
      </c>
      <c r="G17" s="139">
        <f t="shared" si="2"/>
        <v>38.638633243504344</v>
      </c>
      <c r="H17" s="22"/>
      <c r="J17" s="184"/>
      <c r="K17" s="195"/>
    </row>
    <row r="18" spans="1:11">
      <c r="A18" s="18"/>
      <c r="B18" s="21" t="s">
        <v>15</v>
      </c>
      <c r="C18" s="19"/>
      <c r="D18" s="159">
        <f t="shared" ref="D18:E18" si="4">SUM(D19:D22)</f>
        <v>0</v>
      </c>
      <c r="E18" s="159">
        <f t="shared" si="4"/>
        <v>0</v>
      </c>
      <c r="F18" s="160">
        <f t="shared" si="1"/>
        <v>0</v>
      </c>
      <c r="G18" s="138" t="e">
        <f t="shared" si="2"/>
        <v>#DIV/0!</v>
      </c>
      <c r="H18" s="20"/>
      <c r="J18" s="184"/>
      <c r="K18" s="195"/>
    </row>
    <row r="19" spans="1:11">
      <c r="A19" s="18"/>
      <c r="B19" s="21"/>
      <c r="C19" s="19" t="s">
        <v>16</v>
      </c>
      <c r="D19" s="159">
        <f>+ROUND('12. CE Min'!D31,0)</f>
        <v>0</v>
      </c>
      <c r="E19" s="159">
        <f>+ROUND('12. CE Min'!E31,0)</f>
        <v>0</v>
      </c>
      <c r="F19" s="161">
        <f t="shared" si="1"/>
        <v>0</v>
      </c>
      <c r="G19" s="139" t="e">
        <f t="shared" si="2"/>
        <v>#DIV/0!</v>
      </c>
      <c r="H19" s="22"/>
      <c r="J19" s="184"/>
      <c r="K19" s="195"/>
    </row>
    <row r="20" spans="1:11">
      <c r="A20" s="18"/>
      <c r="B20" s="21"/>
      <c r="C20" s="19" t="s">
        <v>17</v>
      </c>
      <c r="D20" s="159">
        <f>+ROUND('12. CE Min'!D32,0)</f>
        <v>0</v>
      </c>
      <c r="E20" s="159">
        <f>+ROUND('12. CE Min'!E32,0)</f>
        <v>0</v>
      </c>
      <c r="F20" s="161">
        <f t="shared" si="1"/>
        <v>0</v>
      </c>
      <c r="G20" s="139" t="e">
        <f t="shared" si="2"/>
        <v>#DIV/0!</v>
      </c>
      <c r="H20" s="22"/>
      <c r="J20" s="184"/>
      <c r="K20" s="195"/>
    </row>
    <row r="21" spans="1:11">
      <c r="A21" s="18"/>
      <c r="B21" s="21"/>
      <c r="C21" s="19" t="s">
        <v>18</v>
      </c>
      <c r="D21" s="159">
        <f>+ROUND('12. CE Min'!D33,0)</f>
        <v>0</v>
      </c>
      <c r="E21" s="159">
        <f>+ROUND('12. CE Min'!E33,0)</f>
        <v>0</v>
      </c>
      <c r="F21" s="161">
        <f t="shared" si="1"/>
        <v>0</v>
      </c>
      <c r="G21" s="139" t="e">
        <f t="shared" si="2"/>
        <v>#DIV/0!</v>
      </c>
      <c r="H21" s="22"/>
      <c r="J21" s="184"/>
      <c r="K21" s="195"/>
    </row>
    <row r="22" spans="1:11">
      <c r="A22" s="18"/>
      <c r="B22" s="21"/>
      <c r="C22" s="19" t="s">
        <v>19</v>
      </c>
      <c r="D22" s="159">
        <f>+ROUND('12. CE Min'!D34,0)</f>
        <v>0</v>
      </c>
      <c r="E22" s="159">
        <f>+ROUND('12. CE Min'!E34,0)</f>
        <v>0</v>
      </c>
      <c r="F22" s="161">
        <f t="shared" si="1"/>
        <v>0</v>
      </c>
      <c r="G22" s="139" t="e">
        <f t="shared" si="2"/>
        <v>#DIV/0!</v>
      </c>
      <c r="H22" s="22"/>
      <c r="J22" s="184"/>
      <c r="K22" s="195"/>
    </row>
    <row r="23" spans="1:11">
      <c r="A23" s="18"/>
      <c r="B23" s="21" t="s">
        <v>20</v>
      </c>
      <c r="C23" s="19"/>
      <c r="D23" s="159">
        <f>+ROUND('12. CE Min'!D35,0)</f>
        <v>0</v>
      </c>
      <c r="E23" s="159">
        <f>+ROUND('12. CE Min'!E35,0)</f>
        <v>0</v>
      </c>
      <c r="F23" s="161">
        <f t="shared" si="1"/>
        <v>0</v>
      </c>
      <c r="G23" s="139" t="e">
        <f t="shared" si="2"/>
        <v>#DIV/0!</v>
      </c>
      <c r="H23" s="22"/>
      <c r="J23" s="184"/>
      <c r="K23" s="195"/>
    </row>
    <row r="24" spans="1:11">
      <c r="A24" s="14">
        <v>2</v>
      </c>
      <c r="B24" s="15" t="s">
        <v>21</v>
      </c>
      <c r="C24" s="15"/>
      <c r="D24" s="162">
        <f>+ROUND('12. CE Min'!D36,0)</f>
        <v>0</v>
      </c>
      <c r="E24" s="162">
        <f>+ROUND('12. CE Min'!E36,0)</f>
        <v>0</v>
      </c>
      <c r="F24" s="163">
        <f t="shared" si="1"/>
        <v>0</v>
      </c>
      <c r="G24" s="283" t="e">
        <f t="shared" si="2"/>
        <v>#DIV/0!</v>
      </c>
      <c r="H24" s="23"/>
      <c r="J24" s="148"/>
      <c r="K24" s="195"/>
    </row>
    <row r="25" spans="1:11">
      <c r="A25" s="14">
        <v>3</v>
      </c>
      <c r="B25" s="15" t="s">
        <v>22</v>
      </c>
      <c r="C25" s="15"/>
      <c r="D25" s="162">
        <f>+ROUND('12. CE Min'!D39,0)</f>
        <v>714602</v>
      </c>
      <c r="E25" s="162">
        <f>+ROUND('12. CE Min'!E39,0)</f>
        <v>503674</v>
      </c>
      <c r="F25" s="163">
        <f t="shared" si="1"/>
        <v>210928</v>
      </c>
      <c r="G25" s="283">
        <f t="shared" si="2"/>
        <v>0.41877881328001842</v>
      </c>
      <c r="H25" s="23"/>
      <c r="J25" s="148"/>
      <c r="K25" s="195"/>
    </row>
    <row r="26" spans="1:11">
      <c r="A26" s="14">
        <v>4</v>
      </c>
      <c r="B26" s="15" t="s">
        <v>23</v>
      </c>
      <c r="C26" s="15"/>
      <c r="D26" s="158">
        <f t="shared" ref="D26:E26" si="5">SUM(D27:D29)</f>
        <v>234093</v>
      </c>
      <c r="E26" s="158">
        <f t="shared" si="5"/>
        <v>766263</v>
      </c>
      <c r="F26" s="163">
        <f t="shared" si="1"/>
        <v>-532170</v>
      </c>
      <c r="G26" s="283">
        <f t="shared" si="2"/>
        <v>-0.69450045219461198</v>
      </c>
      <c r="H26" s="23"/>
      <c r="J26" s="148"/>
      <c r="K26" s="195"/>
    </row>
    <row r="27" spans="1:11">
      <c r="A27" s="14"/>
      <c r="B27" s="19" t="s">
        <v>24</v>
      </c>
      <c r="C27" s="24"/>
      <c r="D27" s="159">
        <f>+ROUND('12. CE Min'!D46,0)</f>
        <v>11492</v>
      </c>
      <c r="E27" s="159">
        <f>+ROUND('12. CE Min'!E46,0)</f>
        <v>9995</v>
      </c>
      <c r="F27" s="161">
        <f t="shared" si="1"/>
        <v>1497</v>
      </c>
      <c r="G27" s="139">
        <f t="shared" si="2"/>
        <v>0.14977488744372186</v>
      </c>
      <c r="H27" s="22"/>
      <c r="J27" s="184"/>
      <c r="K27" s="195"/>
    </row>
    <row r="28" spans="1:11">
      <c r="A28" s="18"/>
      <c r="B28" s="19" t="s">
        <v>25</v>
      </c>
      <c r="C28" s="24"/>
      <c r="D28" s="159">
        <f>+ROUND('12. CE Min'!D92,0)</f>
        <v>0</v>
      </c>
      <c r="E28" s="159">
        <f>+ROUND('12. CE Min'!E92,0)</f>
        <v>0</v>
      </c>
      <c r="F28" s="161">
        <f t="shared" si="1"/>
        <v>0</v>
      </c>
      <c r="G28" s="139" t="e">
        <f t="shared" si="2"/>
        <v>#DIV/0!</v>
      </c>
      <c r="H28" s="22"/>
      <c r="J28" s="184"/>
      <c r="K28" s="195"/>
    </row>
    <row r="29" spans="1:11">
      <c r="A29" s="14"/>
      <c r="B29" s="19" t="s">
        <v>26</v>
      </c>
      <c r="C29" s="24"/>
      <c r="D29" s="159">
        <f>+ROUND('12. CE Min'!D85+'12. CE Min'!D91,0)</f>
        <v>222601</v>
      </c>
      <c r="E29" s="159">
        <f>+ROUND('12. CE Min'!E85+'12. CE Min'!E91,0)</f>
        <v>756268</v>
      </c>
      <c r="F29" s="161">
        <f t="shared" si="1"/>
        <v>-533667</v>
      </c>
      <c r="G29" s="139">
        <f t="shared" si="2"/>
        <v>-0.70565857606033844</v>
      </c>
      <c r="H29" s="22"/>
      <c r="J29" s="184"/>
      <c r="K29" s="195"/>
    </row>
    <row r="30" spans="1:11">
      <c r="A30" s="14">
        <v>5</v>
      </c>
      <c r="B30" s="15" t="s">
        <v>27</v>
      </c>
      <c r="C30" s="15"/>
      <c r="D30" s="162">
        <f>+ROUND(+'12. CE Min'!D100,0)</f>
        <v>443414177</v>
      </c>
      <c r="E30" s="162">
        <f>+ROUND(+'12. CE Min'!E100,0)</f>
        <v>411729960</v>
      </c>
      <c r="F30" s="163">
        <f t="shared" si="1"/>
        <v>31684217</v>
      </c>
      <c r="G30" s="283">
        <f t="shared" si="2"/>
        <v>7.6953877730928294E-2</v>
      </c>
      <c r="H30" s="23"/>
      <c r="J30" s="148"/>
      <c r="K30" s="195"/>
    </row>
    <row r="31" spans="1:11">
      <c r="A31" s="14">
        <v>6</v>
      </c>
      <c r="B31" s="15" t="s">
        <v>28</v>
      </c>
      <c r="C31" s="15"/>
      <c r="D31" s="162">
        <f>+ROUND('12. CE Min'!D121,0)</f>
        <v>0</v>
      </c>
      <c r="E31" s="162">
        <f>+ROUND('12. CE Min'!E121,0)</f>
        <v>0</v>
      </c>
      <c r="F31" s="163">
        <f t="shared" si="1"/>
        <v>0</v>
      </c>
      <c r="G31" s="283" t="e">
        <f t="shared" si="2"/>
        <v>#DIV/0!</v>
      </c>
      <c r="H31" s="209"/>
      <c r="I31" s="208"/>
      <c r="J31" s="148"/>
      <c r="K31" s="195"/>
    </row>
    <row r="32" spans="1:11">
      <c r="A32" s="14">
        <v>7</v>
      </c>
      <c r="B32" s="15" t="s">
        <v>29</v>
      </c>
      <c r="C32" s="15"/>
      <c r="D32" s="162">
        <f>+ROUND('12. CE Min'!D125,0)</f>
        <v>162903</v>
      </c>
      <c r="E32" s="162">
        <f>+ROUND('12. CE Min'!E125,0)</f>
        <v>209090</v>
      </c>
      <c r="F32" s="163">
        <f t="shared" si="1"/>
        <v>-46187</v>
      </c>
      <c r="G32" s="283">
        <f t="shared" si="2"/>
        <v>-0.2208953082404706</v>
      </c>
      <c r="H32" s="23"/>
      <c r="J32" s="148"/>
      <c r="K32" s="195"/>
    </row>
    <row r="33" spans="1:11">
      <c r="A33" s="14">
        <v>8</v>
      </c>
      <c r="B33" s="15" t="s">
        <v>30</v>
      </c>
      <c r="C33" s="15"/>
      <c r="D33" s="162">
        <f>+ROUND(+'12. CE Min'!D132,0)</f>
        <v>0</v>
      </c>
      <c r="E33" s="162">
        <f>+ROUND(+'12. CE Min'!E132,0)</f>
        <v>0</v>
      </c>
      <c r="F33" s="163">
        <f t="shared" si="1"/>
        <v>0</v>
      </c>
      <c r="G33" s="140" t="e">
        <f t="shared" si="2"/>
        <v>#DIV/0!</v>
      </c>
      <c r="H33" s="23"/>
      <c r="J33" s="148"/>
      <c r="K33" s="195"/>
    </row>
    <row r="34" spans="1:11">
      <c r="A34" s="14">
        <v>9</v>
      </c>
      <c r="B34" s="15" t="s">
        <v>31</v>
      </c>
      <c r="C34" s="15"/>
      <c r="D34" s="162">
        <f>+ROUND(+'12. CE Min'!D133,0)</f>
        <v>9191</v>
      </c>
      <c r="E34" s="162">
        <f>+ROUND(+'12. CE Min'!E133,0)</f>
        <v>6250</v>
      </c>
      <c r="F34" s="163">
        <f t="shared" si="1"/>
        <v>2941</v>
      </c>
      <c r="G34" s="140">
        <f t="shared" si="2"/>
        <v>0.47055999999999998</v>
      </c>
      <c r="H34" s="23"/>
      <c r="J34" s="148"/>
      <c r="K34" s="195"/>
    </row>
    <row r="35" spans="1:11">
      <c r="A35" s="203" t="s">
        <v>32</v>
      </c>
      <c r="B35" s="204"/>
      <c r="C35" s="204"/>
      <c r="D35" s="164">
        <f t="shared" ref="D35:E35" si="6">D9+D24+D25+D26+SUM(D30:D34)</f>
        <v>508121043</v>
      </c>
      <c r="E35" s="164">
        <f t="shared" si="6"/>
        <v>457909969</v>
      </c>
      <c r="F35" s="165">
        <f t="shared" si="1"/>
        <v>50211074</v>
      </c>
      <c r="G35" s="131">
        <f t="shared" si="2"/>
        <v>0.10965272083866774</v>
      </c>
      <c r="H35" s="23"/>
      <c r="J35" s="148"/>
      <c r="K35" s="195"/>
    </row>
    <row r="36" spans="1:11">
      <c r="A36" s="18"/>
      <c r="B36" s="25"/>
      <c r="C36" s="16"/>
      <c r="D36" s="166"/>
      <c r="E36" s="166"/>
      <c r="F36" s="161"/>
      <c r="G36" s="139"/>
      <c r="H36" s="20"/>
      <c r="J36" s="184"/>
      <c r="K36" s="195"/>
    </row>
    <row r="37" spans="1:11">
      <c r="A37" s="14" t="s">
        <v>33</v>
      </c>
      <c r="B37" s="5"/>
      <c r="C37" s="26" t="s">
        <v>34</v>
      </c>
      <c r="D37" s="167"/>
      <c r="E37" s="167"/>
      <c r="F37" s="163">
        <f t="shared" ref="F37:F85" si="7">+D37-E37</f>
        <v>0</v>
      </c>
      <c r="G37" s="140" t="e">
        <f t="shared" ref="G37:G85" si="8">+F37/E37</f>
        <v>#DIV/0!</v>
      </c>
      <c r="H37" s="20"/>
      <c r="J37" s="148"/>
      <c r="K37" s="195"/>
    </row>
    <row r="38" spans="1:11">
      <c r="A38" s="14">
        <v>1</v>
      </c>
      <c r="B38" s="15" t="s">
        <v>35</v>
      </c>
      <c r="C38" s="27"/>
      <c r="D38" s="167">
        <f t="shared" ref="D38:E38" si="9">SUM(D39:D40)</f>
        <v>443367062</v>
      </c>
      <c r="E38" s="167">
        <f t="shared" si="9"/>
        <v>391240800</v>
      </c>
      <c r="F38" s="163">
        <f t="shared" si="7"/>
        <v>52126262</v>
      </c>
      <c r="G38" s="140">
        <f t="shared" si="8"/>
        <v>0.13323319551539614</v>
      </c>
      <c r="H38" s="23"/>
      <c r="J38" s="148"/>
      <c r="K38" s="195"/>
    </row>
    <row r="39" spans="1:11">
      <c r="A39" s="14"/>
      <c r="B39" s="19" t="s">
        <v>36</v>
      </c>
      <c r="C39" s="24"/>
      <c r="D39" s="159">
        <f>+ROUND('12. CE Min'!D140,0)</f>
        <v>435995385</v>
      </c>
      <c r="E39" s="159">
        <f>+ROUND('12. CE Min'!E140,0)</f>
        <v>383306599</v>
      </c>
      <c r="F39" s="161">
        <f t="shared" si="7"/>
        <v>52688786</v>
      </c>
      <c r="G39" s="139">
        <f t="shared" si="8"/>
        <v>0.13745859355789489</v>
      </c>
      <c r="H39" s="22"/>
      <c r="J39" s="184"/>
      <c r="K39" s="195"/>
    </row>
    <row r="40" spans="1:11">
      <c r="A40" s="18"/>
      <c r="B40" s="19" t="s">
        <v>37</v>
      </c>
      <c r="C40" s="24"/>
      <c r="D40" s="159">
        <f>+ROUND('12. CE Min'!D171,0)</f>
        <v>7371677</v>
      </c>
      <c r="E40" s="159">
        <f>+ROUND('12. CE Min'!E171,0)</f>
        <v>7934201</v>
      </c>
      <c r="F40" s="161">
        <f t="shared" si="7"/>
        <v>-562524</v>
      </c>
      <c r="G40" s="139">
        <f t="shared" si="8"/>
        <v>-7.0898632389071056E-2</v>
      </c>
      <c r="H40" s="22"/>
      <c r="J40" s="184"/>
      <c r="K40" s="195"/>
    </row>
    <row r="41" spans="1:11">
      <c r="A41" s="14">
        <v>2</v>
      </c>
      <c r="B41" s="15" t="s">
        <v>38</v>
      </c>
      <c r="C41" s="27"/>
      <c r="D41" s="167">
        <f t="shared" ref="D41:E41" si="10">SUM(D42:D58)</f>
        <v>9415066</v>
      </c>
      <c r="E41" s="167">
        <f t="shared" si="10"/>
        <v>6968167</v>
      </c>
      <c r="F41" s="163">
        <f t="shared" si="7"/>
        <v>2446899</v>
      </c>
      <c r="G41" s="140">
        <f t="shared" si="8"/>
        <v>0.35115389743098868</v>
      </c>
      <c r="H41" s="23"/>
      <c r="J41" s="148"/>
      <c r="K41" s="195"/>
    </row>
    <row r="42" spans="1:11">
      <c r="A42" s="18"/>
      <c r="B42" s="21" t="s">
        <v>39</v>
      </c>
      <c r="C42" s="19"/>
      <c r="D42" s="159">
        <f>+ROUND('12. CE Min'!D181,0)</f>
        <v>0</v>
      </c>
      <c r="E42" s="159">
        <f>+ROUND('12. CE Min'!E181,0)</f>
        <v>0</v>
      </c>
      <c r="F42" s="161">
        <f t="shared" si="7"/>
        <v>0</v>
      </c>
      <c r="G42" s="139" t="e">
        <f t="shared" si="8"/>
        <v>#DIV/0!</v>
      </c>
      <c r="H42" s="22"/>
      <c r="J42" s="184"/>
      <c r="K42" s="195"/>
    </row>
    <row r="43" spans="1:11">
      <c r="A43" s="18"/>
      <c r="B43" s="21" t="s">
        <v>40</v>
      </c>
      <c r="C43" s="19"/>
      <c r="D43" s="159">
        <f>+ROUND('12. CE Min'!D189,0)</f>
        <v>0</v>
      </c>
      <c r="E43" s="159">
        <f>+ROUND('12. CE Min'!E189,0)</f>
        <v>0</v>
      </c>
      <c r="F43" s="161">
        <f t="shared" si="7"/>
        <v>0</v>
      </c>
      <c r="G43" s="139" t="e">
        <f t="shared" si="8"/>
        <v>#DIV/0!</v>
      </c>
      <c r="H43" s="22"/>
      <c r="J43" s="184"/>
      <c r="K43" s="195"/>
    </row>
    <row r="44" spans="1:11">
      <c r="A44" s="18"/>
      <c r="B44" s="21" t="s">
        <v>41</v>
      </c>
      <c r="C44" s="19"/>
      <c r="D44" s="159">
        <f>+ROUND('12. CE Min'!D193,0)</f>
        <v>238</v>
      </c>
      <c r="E44" s="159">
        <f>+ROUND('12. CE Min'!E193,0)</f>
        <v>959</v>
      </c>
      <c r="F44" s="161">
        <f t="shared" si="7"/>
        <v>-721</v>
      </c>
      <c r="G44" s="139">
        <f t="shared" si="8"/>
        <v>-0.75182481751824815</v>
      </c>
      <c r="H44" s="22"/>
      <c r="J44" s="184"/>
      <c r="K44" s="195"/>
    </row>
    <row r="45" spans="1:11">
      <c r="A45" s="18"/>
      <c r="B45" s="21" t="s">
        <v>42</v>
      </c>
      <c r="C45" s="19"/>
      <c r="D45" s="159">
        <f>+ROUND('12. CE Min'!D212,0)</f>
        <v>0</v>
      </c>
      <c r="E45" s="159">
        <f>+ROUND('12. CE Min'!E212,0)</f>
        <v>0</v>
      </c>
      <c r="F45" s="161">
        <f t="shared" si="7"/>
        <v>0</v>
      </c>
      <c r="G45" s="139" t="e">
        <f t="shared" si="8"/>
        <v>#DIV/0!</v>
      </c>
      <c r="H45" s="22"/>
      <c r="J45" s="184"/>
      <c r="K45" s="195"/>
    </row>
    <row r="46" spans="1:11">
      <c r="A46" s="18"/>
      <c r="B46" s="21" t="s">
        <v>43</v>
      </c>
      <c r="C46" s="19"/>
      <c r="D46" s="159">
        <f>+ROUND('12. CE Min'!D218,0)</f>
        <v>0</v>
      </c>
      <c r="E46" s="159">
        <f>+ROUND('12. CE Min'!E218,0)</f>
        <v>0</v>
      </c>
      <c r="F46" s="161">
        <f t="shared" si="7"/>
        <v>0</v>
      </c>
      <c r="G46" s="139" t="e">
        <f t="shared" si="8"/>
        <v>#DIV/0!</v>
      </c>
      <c r="H46" s="22"/>
      <c r="J46" s="184"/>
      <c r="K46" s="195"/>
    </row>
    <row r="47" spans="1:11">
      <c r="A47" s="18"/>
      <c r="B47" s="21" t="s">
        <v>44</v>
      </c>
      <c r="C47" s="19"/>
      <c r="D47" s="159">
        <f>+ROUND('12. CE Min'!D223,0)</f>
        <v>0</v>
      </c>
      <c r="E47" s="159">
        <f>+ROUND('12. CE Min'!E223,0)</f>
        <v>0</v>
      </c>
      <c r="F47" s="161">
        <f t="shared" si="7"/>
        <v>0</v>
      </c>
      <c r="G47" s="139" t="e">
        <f t="shared" si="8"/>
        <v>#DIV/0!</v>
      </c>
      <c r="H47" s="22"/>
      <c r="J47" s="184"/>
      <c r="K47" s="195"/>
    </row>
    <row r="48" spans="1:11">
      <c r="A48" s="18"/>
      <c r="B48" s="21" t="s">
        <v>45</v>
      </c>
      <c r="C48" s="19"/>
      <c r="D48" s="159">
        <f>+ROUND('12. CE Min'!D228,0)</f>
        <v>0</v>
      </c>
      <c r="E48" s="159">
        <f>+ROUND('12. CE Min'!E228,0)</f>
        <v>0</v>
      </c>
      <c r="F48" s="161">
        <f t="shared" si="7"/>
        <v>0</v>
      </c>
      <c r="G48" s="139" t="e">
        <f t="shared" si="8"/>
        <v>#DIV/0!</v>
      </c>
      <c r="H48" s="22"/>
      <c r="J48" s="184"/>
      <c r="K48" s="195"/>
    </row>
    <row r="49" spans="1:11">
      <c r="A49" s="18"/>
      <c r="B49" s="21" t="s">
        <v>46</v>
      </c>
      <c r="C49" s="19"/>
      <c r="D49" s="159">
        <f>+ROUND('12. CE Min'!D238,0)</f>
        <v>0</v>
      </c>
      <c r="E49" s="159">
        <f>+ROUND('12. CE Min'!E238,0)</f>
        <v>0</v>
      </c>
      <c r="F49" s="161">
        <f t="shared" si="7"/>
        <v>0</v>
      </c>
      <c r="G49" s="139" t="e">
        <f t="shared" si="8"/>
        <v>#DIV/0!</v>
      </c>
      <c r="H49" s="22"/>
      <c r="J49" s="184"/>
      <c r="K49" s="195"/>
    </row>
    <row r="50" spans="1:11">
      <c r="A50" s="18"/>
      <c r="B50" s="21" t="s">
        <v>47</v>
      </c>
      <c r="C50" s="19"/>
      <c r="D50" s="159">
        <f>+ROUND('12. CE Min'!D244,0)</f>
        <v>0</v>
      </c>
      <c r="E50" s="159">
        <f>+ROUND('12. CE Min'!E244,0)</f>
        <v>0</v>
      </c>
      <c r="F50" s="161">
        <f t="shared" si="7"/>
        <v>0</v>
      </c>
      <c r="G50" s="139" t="e">
        <f t="shared" si="8"/>
        <v>#DIV/0!</v>
      </c>
      <c r="H50" s="22"/>
      <c r="J50" s="184"/>
      <c r="K50" s="195"/>
    </row>
    <row r="51" spans="1:11">
      <c r="A51" s="18"/>
      <c r="B51" s="21" t="s">
        <v>48</v>
      </c>
      <c r="C51" s="19"/>
      <c r="D51" s="159">
        <f>+ROUND('12. CE Min'!D251,0)</f>
        <v>0</v>
      </c>
      <c r="E51" s="159">
        <f>+ROUND('12. CE Min'!E251,0)</f>
        <v>0</v>
      </c>
      <c r="F51" s="161">
        <f t="shared" si="7"/>
        <v>0</v>
      </c>
      <c r="G51" s="139" t="e">
        <f t="shared" si="8"/>
        <v>#DIV/0!</v>
      </c>
      <c r="H51" s="22"/>
      <c r="J51" s="184"/>
      <c r="K51" s="195"/>
    </row>
    <row r="52" spans="1:11">
      <c r="A52" s="18"/>
      <c r="B52" s="21" t="s">
        <v>49</v>
      </c>
      <c r="C52" s="19"/>
      <c r="D52" s="159">
        <f>+ROUND('12. CE Min'!D257,0)</f>
        <v>0</v>
      </c>
      <c r="E52" s="159">
        <f>+ROUND('12. CE Min'!E257,0)</f>
        <v>0</v>
      </c>
      <c r="F52" s="161">
        <f t="shared" si="7"/>
        <v>0</v>
      </c>
      <c r="G52" s="139" t="e">
        <f t="shared" si="8"/>
        <v>#DIV/0!</v>
      </c>
      <c r="H52" s="22"/>
      <c r="J52" s="184"/>
      <c r="K52" s="195"/>
    </row>
    <row r="53" spans="1:11">
      <c r="A53" s="18"/>
      <c r="B53" s="21" t="s">
        <v>50</v>
      </c>
      <c r="C53" s="19"/>
      <c r="D53" s="159">
        <f>+ROUND('12. CE Min'!D262,0)</f>
        <v>0</v>
      </c>
      <c r="E53" s="159">
        <f>+ROUND('12. CE Min'!E262,0)</f>
        <v>0</v>
      </c>
      <c r="F53" s="161">
        <f t="shared" si="7"/>
        <v>0</v>
      </c>
      <c r="G53" s="139" t="e">
        <f t="shared" si="8"/>
        <v>#DIV/0!</v>
      </c>
      <c r="H53" s="22"/>
      <c r="J53" s="184"/>
      <c r="K53" s="195"/>
    </row>
    <row r="54" spans="1:11">
      <c r="A54" s="18"/>
      <c r="B54" s="21" t="s">
        <v>51</v>
      </c>
      <c r="C54" s="19"/>
      <c r="D54" s="159">
        <f>+ROUND('12. CE Min'!D271,0)</f>
        <v>4399</v>
      </c>
      <c r="E54" s="159">
        <f>+ROUND('12. CE Min'!E271,0)</f>
        <v>7778</v>
      </c>
      <c r="F54" s="161">
        <f t="shared" si="7"/>
        <v>-3379</v>
      </c>
      <c r="G54" s="139">
        <f t="shared" si="8"/>
        <v>-0.43443044484443299</v>
      </c>
      <c r="H54" s="22"/>
      <c r="J54" s="184"/>
      <c r="K54" s="195"/>
    </row>
    <row r="55" spans="1:11">
      <c r="A55" s="18"/>
      <c r="B55" s="21" t="s">
        <v>52</v>
      </c>
      <c r="C55" s="19"/>
      <c r="D55" s="159">
        <f>+ROUND('12. CE Min'!D279,0)</f>
        <v>5081023</v>
      </c>
      <c r="E55" s="159">
        <f>+ROUND('12. CE Min'!E279,0)</f>
        <v>2865831</v>
      </c>
      <c r="F55" s="161">
        <f t="shared" si="7"/>
        <v>2215192</v>
      </c>
      <c r="G55" s="139">
        <f t="shared" si="8"/>
        <v>0.77296672413690826</v>
      </c>
      <c r="H55" s="152"/>
      <c r="J55" s="184"/>
      <c r="K55" s="195"/>
    </row>
    <row r="56" spans="1:11">
      <c r="A56" s="18"/>
      <c r="B56" s="21" t="s">
        <v>53</v>
      </c>
      <c r="C56" s="53"/>
      <c r="D56" s="159">
        <f>+ROUND('12. CE Min'!D287,0)</f>
        <v>2066765</v>
      </c>
      <c r="E56" s="159">
        <f>+ROUND('12. CE Min'!E287,0)</f>
        <v>1811953</v>
      </c>
      <c r="F56" s="161">
        <f t="shared" si="7"/>
        <v>254812</v>
      </c>
      <c r="G56" s="139">
        <f t="shared" si="8"/>
        <v>0.14062837170721315</v>
      </c>
      <c r="H56" s="152"/>
      <c r="J56" s="184"/>
      <c r="K56" s="195"/>
    </row>
    <row r="57" spans="1:11">
      <c r="A57" s="18"/>
      <c r="B57" s="21" t="s">
        <v>54</v>
      </c>
      <c r="C57" s="19"/>
      <c r="D57" s="159">
        <f>+ROUND('12. CE Min'!D301,0)</f>
        <v>2262641</v>
      </c>
      <c r="E57" s="159">
        <f>+ROUND('12. CE Min'!E301,0)</f>
        <v>2281646</v>
      </c>
      <c r="F57" s="161">
        <f t="shared" si="7"/>
        <v>-19005</v>
      </c>
      <c r="G57" s="139">
        <f t="shared" si="8"/>
        <v>-8.3295129919365232E-3</v>
      </c>
      <c r="H57" s="22"/>
      <c r="J57" s="184"/>
      <c r="K57" s="195"/>
    </row>
    <row r="58" spans="1:11">
      <c r="A58" s="18"/>
      <c r="B58" s="21" t="s">
        <v>55</v>
      </c>
      <c r="C58" s="19"/>
      <c r="D58" s="159">
        <f>+ROUND('12. CE Min'!D309,0)</f>
        <v>0</v>
      </c>
      <c r="E58" s="159">
        <f>+ROUND('12. CE Min'!E309,0)</f>
        <v>0</v>
      </c>
      <c r="F58" s="161">
        <f t="shared" si="7"/>
        <v>0</v>
      </c>
      <c r="G58" s="139" t="e">
        <f t="shared" si="8"/>
        <v>#DIV/0!</v>
      </c>
      <c r="H58" s="22"/>
      <c r="J58" s="184"/>
      <c r="K58" s="195"/>
    </row>
    <row r="59" spans="1:11">
      <c r="A59" s="14">
        <v>3</v>
      </c>
      <c r="B59" s="15" t="s">
        <v>56</v>
      </c>
      <c r="C59" s="27"/>
      <c r="D59" s="167">
        <f t="shared" ref="D59:E59" si="11">SUM(D60:D62)</f>
        <v>18651570</v>
      </c>
      <c r="E59" s="167">
        <f t="shared" si="11"/>
        <v>18416398</v>
      </c>
      <c r="F59" s="163">
        <f t="shared" si="7"/>
        <v>235172</v>
      </c>
      <c r="G59" s="140">
        <f t="shared" si="8"/>
        <v>1.276970664947619E-2</v>
      </c>
      <c r="H59" s="23"/>
      <c r="J59" s="148"/>
      <c r="K59" s="195"/>
    </row>
    <row r="60" spans="1:11">
      <c r="A60" s="18"/>
      <c r="B60" s="21" t="s">
        <v>57</v>
      </c>
      <c r="C60" s="19"/>
      <c r="D60" s="159">
        <f>+ROUND('12. CE Min'!D311,0)</f>
        <v>17875144</v>
      </c>
      <c r="E60" s="159">
        <f>+ROUND('12. CE Min'!E311,0)</f>
        <v>17323927</v>
      </c>
      <c r="F60" s="161">
        <f t="shared" si="7"/>
        <v>551217</v>
      </c>
      <c r="G60" s="139">
        <f t="shared" si="8"/>
        <v>3.1818247675599189E-2</v>
      </c>
      <c r="H60" s="22"/>
      <c r="J60" s="184"/>
      <c r="K60" s="195"/>
    </row>
    <row r="61" spans="1:11">
      <c r="A61" s="18"/>
      <c r="B61" s="21" t="s">
        <v>58</v>
      </c>
      <c r="C61" s="53"/>
      <c r="D61" s="159">
        <f>+ROUND('12. CE Min'!D331,0)</f>
        <v>722477</v>
      </c>
      <c r="E61" s="159">
        <f>+ROUND('12. CE Min'!E331,0)</f>
        <v>1058564</v>
      </c>
      <c r="F61" s="161">
        <f t="shared" si="7"/>
        <v>-336087</v>
      </c>
      <c r="G61" s="139">
        <f t="shared" si="8"/>
        <v>-0.31749332114071516</v>
      </c>
      <c r="H61" s="22"/>
      <c r="J61" s="184"/>
      <c r="K61" s="195"/>
    </row>
    <row r="62" spans="1:11">
      <c r="A62" s="18"/>
      <c r="B62" s="21" t="s">
        <v>59</v>
      </c>
      <c r="C62" s="19"/>
      <c r="D62" s="159">
        <f>+ROUND('12. CE Min'!D345,0)</f>
        <v>53949</v>
      </c>
      <c r="E62" s="159">
        <f>+ROUND('12. CE Min'!E345,0)</f>
        <v>33907</v>
      </c>
      <c r="F62" s="161">
        <f t="shared" si="7"/>
        <v>20042</v>
      </c>
      <c r="G62" s="139">
        <f t="shared" si="8"/>
        <v>0.59108738608546907</v>
      </c>
      <c r="H62" s="22"/>
      <c r="J62" s="184"/>
      <c r="K62" s="195"/>
    </row>
    <row r="63" spans="1:11">
      <c r="A63" s="14">
        <v>4</v>
      </c>
      <c r="B63" s="28" t="s">
        <v>60</v>
      </c>
      <c r="C63" s="27"/>
      <c r="D63" s="167">
        <f>+ROUND('12. CE Min'!D348,0)</f>
        <v>1064</v>
      </c>
      <c r="E63" s="167">
        <f>+ROUND('12. CE Min'!E348,0)</f>
        <v>2901</v>
      </c>
      <c r="F63" s="163">
        <f t="shared" si="7"/>
        <v>-1837</v>
      </c>
      <c r="G63" s="140">
        <f t="shared" si="8"/>
        <v>-0.63322992071699413</v>
      </c>
      <c r="H63" s="23"/>
      <c r="J63" s="148"/>
      <c r="K63" s="195"/>
    </row>
    <row r="64" spans="1:11">
      <c r="A64" s="14">
        <v>5</v>
      </c>
      <c r="B64" s="15" t="s">
        <v>61</v>
      </c>
      <c r="C64" s="15"/>
      <c r="D64" s="167">
        <f>+ROUND('12. CE Min'!D356,0)</f>
        <v>3100079</v>
      </c>
      <c r="E64" s="167">
        <f>+ROUND('12. CE Min'!E356,0)</f>
        <v>3182900</v>
      </c>
      <c r="F64" s="163">
        <f t="shared" si="7"/>
        <v>-82821</v>
      </c>
      <c r="G64" s="140">
        <f t="shared" si="8"/>
        <v>-2.6020610135411102E-2</v>
      </c>
      <c r="H64" s="23"/>
      <c r="J64" s="148"/>
      <c r="K64" s="195"/>
    </row>
    <row r="65" spans="1:11">
      <c r="A65" s="14">
        <v>6</v>
      </c>
      <c r="B65" s="15" t="s">
        <v>62</v>
      </c>
      <c r="C65" s="27"/>
      <c r="D65" s="167">
        <f t="shared" ref="D65:E65" si="12">SUM(D66:D70)</f>
        <v>10525335</v>
      </c>
      <c r="E65" s="167">
        <f t="shared" si="12"/>
        <v>9520577</v>
      </c>
      <c r="F65" s="163">
        <f t="shared" si="7"/>
        <v>1004758</v>
      </c>
      <c r="G65" s="140">
        <f t="shared" si="8"/>
        <v>0.10553541030128741</v>
      </c>
      <c r="H65" s="23"/>
      <c r="J65" s="148"/>
      <c r="K65" s="195"/>
    </row>
    <row r="66" spans="1:11">
      <c r="A66" s="14"/>
      <c r="B66" s="19" t="s">
        <v>63</v>
      </c>
      <c r="C66" s="24"/>
      <c r="D66" s="159">
        <f>+ROUND('12. CE Min'!D369,0)</f>
        <v>264175</v>
      </c>
      <c r="E66" s="159">
        <f>+ROUND('12. CE Min'!E369,0)</f>
        <v>227460</v>
      </c>
      <c r="F66" s="161">
        <f t="shared" si="7"/>
        <v>36715</v>
      </c>
      <c r="G66" s="139">
        <f t="shared" si="8"/>
        <v>0.16141299569155015</v>
      </c>
      <c r="H66" s="22"/>
      <c r="J66" s="184"/>
      <c r="K66" s="195"/>
    </row>
    <row r="67" spans="1:11">
      <c r="A67" s="14"/>
      <c r="B67" s="19" t="s">
        <v>64</v>
      </c>
      <c r="C67" s="24"/>
      <c r="D67" s="159">
        <f>+ROUND('12. CE Min'!D373,0)</f>
        <v>820434</v>
      </c>
      <c r="E67" s="159">
        <f>+ROUND('12. CE Min'!E373,0)</f>
        <v>785315</v>
      </c>
      <c r="F67" s="161">
        <f t="shared" si="7"/>
        <v>35119</v>
      </c>
      <c r="G67" s="139">
        <f t="shared" si="8"/>
        <v>4.4719634796228265E-2</v>
      </c>
      <c r="H67" s="22"/>
      <c r="J67" s="184"/>
      <c r="K67" s="195"/>
    </row>
    <row r="68" spans="1:11">
      <c r="A68" s="14"/>
      <c r="B68" s="19" t="s">
        <v>65</v>
      </c>
      <c r="C68" s="24"/>
      <c r="D68" s="159">
        <f>+ROUND('12. CE Min'!D377,0)</f>
        <v>2211876</v>
      </c>
      <c r="E68" s="159">
        <f>+ROUND('12. CE Min'!E377,0)</f>
        <v>2322941</v>
      </c>
      <c r="F68" s="161">
        <f t="shared" si="7"/>
        <v>-111065</v>
      </c>
      <c r="G68" s="139">
        <f t="shared" si="8"/>
        <v>-4.7812234576771431E-2</v>
      </c>
      <c r="H68" s="22"/>
      <c r="J68" s="184"/>
      <c r="K68" s="195"/>
    </row>
    <row r="69" spans="1:11">
      <c r="A69" s="18"/>
      <c r="B69" s="19" t="s">
        <v>66</v>
      </c>
      <c r="C69" s="24"/>
      <c r="D69" s="159">
        <f>+ROUND('12. CE Min'!D382+'12. CE Min'!D391+'12. CE Min'!D400,0)</f>
        <v>2532440</v>
      </c>
      <c r="E69" s="159">
        <f>+ROUND('12. CE Min'!E382+'12. CE Min'!E391+'12. CE Min'!E400,0)</f>
        <v>2408825</v>
      </c>
      <c r="F69" s="161">
        <f t="shared" si="7"/>
        <v>123615</v>
      </c>
      <c r="G69" s="139">
        <f t="shared" si="8"/>
        <v>5.1317551088186149E-2</v>
      </c>
      <c r="H69" s="22"/>
      <c r="J69" s="184"/>
      <c r="K69" s="195"/>
    </row>
    <row r="70" spans="1:11">
      <c r="A70" s="18"/>
      <c r="B70" s="19" t="s">
        <v>67</v>
      </c>
      <c r="C70" s="24"/>
      <c r="D70" s="159">
        <f>+ROUND('12. CE Min'!D386+'12. CE Min'!D395+'12. CE Min'!D404,0)</f>
        <v>4696410</v>
      </c>
      <c r="E70" s="159">
        <f>+ROUND('12. CE Min'!E386+'12. CE Min'!E395+'12. CE Min'!E404,0)</f>
        <v>3776036</v>
      </c>
      <c r="F70" s="161">
        <f t="shared" si="7"/>
        <v>920374</v>
      </c>
      <c r="G70" s="139">
        <f t="shared" si="8"/>
        <v>0.24374079060686921</v>
      </c>
      <c r="H70" s="22"/>
      <c r="J70" s="184"/>
    </row>
    <row r="71" spans="1:11">
      <c r="A71" s="14">
        <v>7</v>
      </c>
      <c r="B71" s="28" t="s">
        <v>68</v>
      </c>
      <c r="C71" s="15"/>
      <c r="D71" s="167">
        <f>+ROUND('12. CE Min'!D408,0)</f>
        <v>942069</v>
      </c>
      <c r="E71" s="167">
        <f>+ROUND('12. CE Min'!E408,0)</f>
        <v>780302</v>
      </c>
      <c r="F71" s="163">
        <f t="shared" si="7"/>
        <v>161767</v>
      </c>
      <c r="G71" s="140">
        <f t="shared" si="8"/>
        <v>0.20731332227778476</v>
      </c>
      <c r="H71" s="23"/>
      <c r="J71" s="148"/>
    </row>
    <row r="72" spans="1:11">
      <c r="A72" s="14">
        <v>8</v>
      </c>
      <c r="B72" s="28" t="s">
        <v>69</v>
      </c>
      <c r="C72" s="15"/>
      <c r="D72" s="167">
        <f t="shared" ref="D72:E72" si="13">SUM(D73:D75)</f>
        <v>165261</v>
      </c>
      <c r="E72" s="167">
        <f t="shared" si="13"/>
        <v>210269</v>
      </c>
      <c r="F72" s="163">
        <f t="shared" si="7"/>
        <v>-45008</v>
      </c>
      <c r="G72" s="140">
        <f t="shared" si="8"/>
        <v>-0.21404962215067366</v>
      </c>
      <c r="H72" s="23"/>
      <c r="J72" s="148"/>
    </row>
    <row r="73" spans="1:11">
      <c r="A73" s="14"/>
      <c r="B73" s="19" t="s">
        <v>70</v>
      </c>
      <c r="C73" s="24"/>
      <c r="D73" s="159">
        <f>+ROUND('12. CE Min'!D417,0)</f>
        <v>3905</v>
      </c>
      <c r="E73" s="159">
        <f>+ROUND('12. CE Min'!E417,0)</f>
        <v>6080</v>
      </c>
      <c r="F73" s="161">
        <f t="shared" si="7"/>
        <v>-2175</v>
      </c>
      <c r="G73" s="139">
        <f t="shared" si="8"/>
        <v>-0.35773026315789475</v>
      </c>
      <c r="H73" s="22"/>
      <c r="J73" s="184"/>
    </row>
    <row r="74" spans="1:11">
      <c r="A74" s="14"/>
      <c r="B74" s="19" t="s">
        <v>71</v>
      </c>
      <c r="C74" s="24"/>
      <c r="D74" s="159">
        <f>+ROUND('12. CE Min'!D419,0)</f>
        <v>0</v>
      </c>
      <c r="E74" s="159">
        <f>+ROUND('12. CE Min'!E419,0)</f>
        <v>0</v>
      </c>
      <c r="F74" s="161">
        <f t="shared" si="7"/>
        <v>0</v>
      </c>
      <c r="G74" s="139" t="e">
        <f t="shared" si="8"/>
        <v>#DIV/0!</v>
      </c>
      <c r="H74" s="22"/>
      <c r="J74" s="184"/>
    </row>
    <row r="75" spans="1:11">
      <c r="A75" s="18"/>
      <c r="B75" s="19" t="s">
        <v>72</v>
      </c>
      <c r="C75" s="24"/>
      <c r="D75" s="159">
        <f>+ROUND('12. CE Min'!D422,0)</f>
        <v>161356</v>
      </c>
      <c r="E75" s="159">
        <f>+ROUND('12. CE Min'!E422,0)</f>
        <v>204189</v>
      </c>
      <c r="F75" s="161">
        <f t="shared" si="7"/>
        <v>-42833</v>
      </c>
      <c r="G75" s="139">
        <f t="shared" si="8"/>
        <v>-0.20977133929839512</v>
      </c>
      <c r="H75" s="22"/>
      <c r="J75" s="184"/>
    </row>
    <row r="76" spans="1:11">
      <c r="A76" s="14">
        <v>9</v>
      </c>
      <c r="B76" s="28" t="s">
        <v>73</v>
      </c>
      <c r="C76" s="15"/>
      <c r="D76" s="167">
        <f>+ROUND('12. CE Min'!D423,0)</f>
        <v>0</v>
      </c>
      <c r="E76" s="167">
        <f>+ROUND('12. CE Min'!E423,0)</f>
        <v>31638</v>
      </c>
      <c r="F76" s="163">
        <f t="shared" si="7"/>
        <v>-31638</v>
      </c>
      <c r="G76" s="140">
        <f t="shared" si="8"/>
        <v>-1</v>
      </c>
      <c r="H76" s="23"/>
      <c r="J76" s="148"/>
    </row>
    <row r="77" spans="1:11">
      <c r="A77" s="14">
        <v>10</v>
      </c>
      <c r="B77" s="15" t="s">
        <v>74</v>
      </c>
      <c r="C77" s="27"/>
      <c r="D77" s="167">
        <f t="shared" ref="D77:E77" si="14">SUM(D78:D79)</f>
        <v>-12369420</v>
      </c>
      <c r="E77" s="167">
        <f t="shared" si="14"/>
        <v>11419960</v>
      </c>
      <c r="F77" s="163">
        <f t="shared" si="7"/>
        <v>-23789380</v>
      </c>
      <c r="G77" s="140">
        <f t="shared" si="8"/>
        <v>-2.0831403962886035</v>
      </c>
      <c r="H77" s="23"/>
      <c r="J77" s="148"/>
    </row>
    <row r="78" spans="1:11">
      <c r="A78" s="14"/>
      <c r="B78" s="19" t="s">
        <v>75</v>
      </c>
      <c r="C78" s="24"/>
      <c r="D78" s="159">
        <f>+ROUND('12. CE Min'!D427,0)</f>
        <v>-12775531</v>
      </c>
      <c r="E78" s="159">
        <f>+ROUND('12. CE Min'!E427,0)</f>
        <v>9397007</v>
      </c>
      <c r="F78" s="161">
        <f t="shared" si="7"/>
        <v>-22172538</v>
      </c>
      <c r="G78" s="139">
        <f t="shared" si="8"/>
        <v>-2.3595319233028134</v>
      </c>
      <c r="H78" s="22"/>
      <c r="J78" s="184"/>
    </row>
    <row r="79" spans="1:11">
      <c r="A79" s="14"/>
      <c r="B79" s="19" t="s">
        <v>76</v>
      </c>
      <c r="C79" s="24"/>
      <c r="D79" s="159">
        <f>+ROUND('12. CE Min'!D436,0)</f>
        <v>406111</v>
      </c>
      <c r="E79" s="159">
        <f>+ROUND('12. CE Min'!E436,0)</f>
        <v>2022953</v>
      </c>
      <c r="F79" s="161">
        <f t="shared" si="7"/>
        <v>-1616842</v>
      </c>
      <c r="G79" s="139">
        <f t="shared" si="8"/>
        <v>-0.79924842544537611</v>
      </c>
      <c r="H79" s="22"/>
      <c r="J79" s="184"/>
    </row>
    <row r="80" spans="1:11">
      <c r="A80" s="14">
        <v>11</v>
      </c>
      <c r="B80" s="15" t="s">
        <v>77</v>
      </c>
      <c r="C80" s="27"/>
      <c r="D80" s="167">
        <f t="shared" ref="D80:E80" si="15">SUM(D81:D84)</f>
        <v>35290825</v>
      </c>
      <c r="E80" s="167">
        <f t="shared" si="15"/>
        <v>13588029</v>
      </c>
      <c r="F80" s="163">
        <f t="shared" si="7"/>
        <v>21702796</v>
      </c>
      <c r="G80" s="140">
        <f t="shared" si="8"/>
        <v>1.5971997115990848</v>
      </c>
      <c r="H80" s="23"/>
      <c r="J80" s="148"/>
    </row>
    <row r="81" spans="1:10">
      <c r="A81" s="14"/>
      <c r="B81" s="19" t="s">
        <v>78</v>
      </c>
      <c r="C81" s="16"/>
      <c r="D81" s="159">
        <f>+ROUND('12. CE Min'!D444,0)</f>
        <v>14801743</v>
      </c>
      <c r="E81" s="159">
        <f>+ROUND('12. CE Min'!E444,0)</f>
        <v>13237019</v>
      </c>
      <c r="F81" s="161">
        <f t="shared" si="7"/>
        <v>1564724</v>
      </c>
      <c r="G81" s="139">
        <f t="shared" si="8"/>
        <v>0.11820818569498162</v>
      </c>
      <c r="H81" s="22"/>
      <c r="J81" s="184"/>
    </row>
    <row r="82" spans="1:10">
      <c r="A82" s="14"/>
      <c r="B82" s="19" t="s">
        <v>79</v>
      </c>
      <c r="C82" s="16"/>
      <c r="D82" s="159">
        <f>+ROUND('12. CE Min'!D452,0)</f>
        <v>0</v>
      </c>
      <c r="E82" s="159">
        <f>+ROUND('12. CE Min'!E452,0)</f>
        <v>0</v>
      </c>
      <c r="F82" s="161">
        <f t="shared" si="7"/>
        <v>0</v>
      </c>
      <c r="G82" s="139" t="e">
        <f t="shared" si="8"/>
        <v>#DIV/0!</v>
      </c>
      <c r="H82" s="22"/>
      <c r="J82" s="184"/>
    </row>
    <row r="83" spans="1:10">
      <c r="A83" s="14"/>
      <c r="B83" s="19" t="s">
        <v>80</v>
      </c>
      <c r="C83" s="16"/>
      <c r="D83" s="159">
        <f>+ROUND('12. CE Min'!D453,0)</f>
        <v>17878009</v>
      </c>
      <c r="E83" s="159">
        <f>+ROUND('12. CE Min'!E453,0)</f>
        <v>262700</v>
      </c>
      <c r="F83" s="161">
        <f t="shared" si="7"/>
        <v>17615309</v>
      </c>
      <c r="G83" s="139">
        <f t="shared" si="8"/>
        <v>67.054849638370769</v>
      </c>
      <c r="H83" s="22"/>
      <c r="J83" s="184"/>
    </row>
    <row r="84" spans="1:10">
      <c r="A84" s="14"/>
      <c r="B84" s="19" t="s">
        <v>81</v>
      </c>
      <c r="C84" s="16"/>
      <c r="D84" s="159">
        <f>+ROUND('12. CE Min'!D460,0)</f>
        <v>2611073</v>
      </c>
      <c r="E84" s="159">
        <f>+ROUND('12. CE Min'!E460,0)</f>
        <v>88310</v>
      </c>
      <c r="F84" s="161">
        <f t="shared" si="7"/>
        <v>2522763</v>
      </c>
      <c r="G84" s="139">
        <f t="shared" si="8"/>
        <v>28.567127165666403</v>
      </c>
      <c r="H84" s="22"/>
      <c r="J84" s="184"/>
    </row>
    <row r="85" spans="1:10">
      <c r="A85" s="203" t="s">
        <v>82</v>
      </c>
      <c r="B85" s="204"/>
      <c r="C85" s="204"/>
      <c r="D85" s="164">
        <f t="shared" ref="D85:E85" si="16">D38+D41+D63+D64+D65+D71+D72+D76+D77+D80+D59</f>
        <v>509088911</v>
      </c>
      <c r="E85" s="164">
        <f t="shared" si="16"/>
        <v>455361941</v>
      </c>
      <c r="F85" s="165">
        <f t="shared" si="7"/>
        <v>53726970</v>
      </c>
      <c r="G85" s="131">
        <f t="shared" si="8"/>
        <v>0.117987396755233</v>
      </c>
      <c r="H85" s="23"/>
      <c r="J85" s="148"/>
    </row>
    <row r="86" spans="1:10" ht="13.5" thickBot="1">
      <c r="A86" s="29"/>
      <c r="B86" s="30"/>
      <c r="C86" s="31"/>
      <c r="D86" s="168"/>
      <c r="E86" s="168"/>
      <c r="F86" s="169"/>
      <c r="G86" s="141"/>
      <c r="H86" s="20"/>
      <c r="J86" s="148"/>
    </row>
    <row r="87" spans="1:10" ht="13.5" thickBot="1">
      <c r="A87" s="205" t="s">
        <v>83</v>
      </c>
      <c r="B87" s="206"/>
      <c r="C87" s="206"/>
      <c r="D87" s="170">
        <f t="shared" ref="D87:E87" si="17">+D35-D85</f>
        <v>-967868</v>
      </c>
      <c r="E87" s="170">
        <f t="shared" si="17"/>
        <v>2548028</v>
      </c>
      <c r="F87" s="171">
        <f>+D87-E87</f>
        <v>-3515896</v>
      </c>
      <c r="G87" s="132">
        <f>+F87/E87</f>
        <v>-1.3798498289657728</v>
      </c>
      <c r="H87" s="23"/>
      <c r="J87" s="148"/>
    </row>
    <row r="88" spans="1:10">
      <c r="A88" s="32"/>
      <c r="B88" s="33"/>
      <c r="C88" s="34"/>
      <c r="D88" s="166"/>
      <c r="E88" s="166"/>
      <c r="F88" s="161"/>
      <c r="G88" s="139"/>
      <c r="H88" s="20"/>
      <c r="J88" s="184"/>
    </row>
    <row r="89" spans="1:10">
      <c r="A89" s="14" t="s">
        <v>84</v>
      </c>
      <c r="B89" s="15" t="s">
        <v>85</v>
      </c>
      <c r="C89" s="27"/>
      <c r="D89" s="167"/>
      <c r="E89" s="167"/>
      <c r="F89" s="163"/>
      <c r="G89" s="140"/>
      <c r="H89" s="20"/>
      <c r="J89" s="148"/>
    </row>
    <row r="90" spans="1:10">
      <c r="A90" s="35"/>
      <c r="B90" s="5" t="s">
        <v>86</v>
      </c>
      <c r="C90" s="36" t="s">
        <v>87</v>
      </c>
      <c r="D90" s="162">
        <f>+ROUND('12. CE Min'!D473+'12. CE Min'!D477,0)</f>
        <v>0</v>
      </c>
      <c r="E90" s="162">
        <f>+ROUND('12. CE Min'!E473+'12. CE Min'!E477,0)</f>
        <v>0</v>
      </c>
      <c r="F90" s="163">
        <f t="shared" ref="F90:F92" si="18">+D90-E90</f>
        <v>0</v>
      </c>
      <c r="G90" s="140" t="e">
        <f t="shared" ref="G90:G92" si="19">+F90/E90</f>
        <v>#DIV/0!</v>
      </c>
      <c r="H90" s="23"/>
      <c r="J90" s="148"/>
    </row>
    <row r="91" spans="1:10">
      <c r="A91" s="35"/>
      <c r="B91" s="5" t="s">
        <v>88</v>
      </c>
      <c r="C91" s="36" t="s">
        <v>89</v>
      </c>
      <c r="D91" s="162">
        <f>+ROUND('12. CE Min'!D483+'12. CE Min'!D487,0)</f>
        <v>0</v>
      </c>
      <c r="E91" s="162">
        <f>+ROUND('12. CE Min'!E483+'12. CE Min'!E487,0)</f>
        <v>0</v>
      </c>
      <c r="F91" s="163">
        <f t="shared" si="18"/>
        <v>0</v>
      </c>
      <c r="G91" s="140" t="e">
        <f t="shared" si="19"/>
        <v>#DIV/0!</v>
      </c>
      <c r="H91" s="23"/>
      <c r="J91" s="148"/>
    </row>
    <row r="92" spans="1:10">
      <c r="A92" s="203" t="s">
        <v>90</v>
      </c>
      <c r="B92" s="204"/>
      <c r="C92" s="204" t="s">
        <v>91</v>
      </c>
      <c r="D92" s="164">
        <f t="shared" ref="D92:E92" si="20">+D90-D91</f>
        <v>0</v>
      </c>
      <c r="E92" s="164">
        <f t="shared" si="20"/>
        <v>0</v>
      </c>
      <c r="F92" s="165">
        <f t="shared" si="18"/>
        <v>0</v>
      </c>
      <c r="G92" s="131" t="e">
        <f t="shared" si="19"/>
        <v>#DIV/0!</v>
      </c>
      <c r="H92" s="23"/>
      <c r="J92" s="148"/>
    </row>
    <row r="93" spans="1:10">
      <c r="A93" s="35"/>
      <c r="B93" s="37"/>
      <c r="C93" s="15"/>
      <c r="D93" s="167"/>
      <c r="E93" s="167"/>
      <c r="F93" s="163"/>
      <c r="G93" s="140"/>
      <c r="H93" s="20"/>
      <c r="J93" s="148"/>
    </row>
    <row r="94" spans="1:10">
      <c r="A94" s="14" t="s">
        <v>92</v>
      </c>
      <c r="B94" s="15" t="s">
        <v>93</v>
      </c>
      <c r="C94" s="15"/>
      <c r="D94" s="167"/>
      <c r="E94" s="167"/>
      <c r="F94" s="163"/>
      <c r="G94" s="140"/>
      <c r="H94" s="20"/>
      <c r="J94" s="148"/>
    </row>
    <row r="95" spans="1:10">
      <c r="A95" s="35"/>
      <c r="B95" s="5" t="s">
        <v>86</v>
      </c>
      <c r="C95" s="15" t="s">
        <v>94</v>
      </c>
      <c r="D95" s="162">
        <f>+ROUND(+'12. CE Min'!D492,0)</f>
        <v>0</v>
      </c>
      <c r="E95" s="162">
        <f>+ROUND(+'12. CE Min'!E492,0)</f>
        <v>0</v>
      </c>
      <c r="F95" s="163">
        <f t="shared" ref="F95:F97" si="21">+D95-E95</f>
        <v>0</v>
      </c>
      <c r="G95" s="140" t="e">
        <f t="shared" ref="G95:G97" si="22">+F95/E95</f>
        <v>#DIV/0!</v>
      </c>
      <c r="H95" s="20"/>
      <c r="J95" s="148"/>
    </row>
    <row r="96" spans="1:10">
      <c r="A96" s="35"/>
      <c r="B96" s="5" t="s">
        <v>88</v>
      </c>
      <c r="C96" s="15" t="s">
        <v>95</v>
      </c>
      <c r="D96" s="162">
        <f>+ROUND(+'12. CE Min'!D493,0)</f>
        <v>0</v>
      </c>
      <c r="E96" s="162">
        <f>+ROUND(+'12. CE Min'!E493,0)</f>
        <v>0</v>
      </c>
      <c r="F96" s="163">
        <f t="shared" si="21"/>
        <v>0</v>
      </c>
      <c r="G96" s="140" t="e">
        <f t="shared" si="22"/>
        <v>#DIV/0!</v>
      </c>
      <c r="H96" s="20"/>
      <c r="J96" s="148"/>
    </row>
    <row r="97" spans="1:11">
      <c r="A97" s="203" t="s">
        <v>96</v>
      </c>
      <c r="B97" s="204"/>
      <c r="C97" s="204" t="s">
        <v>91</v>
      </c>
      <c r="D97" s="164">
        <f t="shared" ref="D97:E97" si="23">D95-D96</f>
        <v>0</v>
      </c>
      <c r="E97" s="164">
        <f t="shared" si="23"/>
        <v>0</v>
      </c>
      <c r="F97" s="165">
        <f t="shared" si="21"/>
        <v>0</v>
      </c>
      <c r="G97" s="131" t="e">
        <f t="shared" si="22"/>
        <v>#DIV/0!</v>
      </c>
      <c r="H97" s="23"/>
      <c r="J97" s="148"/>
    </row>
    <row r="98" spans="1:11">
      <c r="A98" s="35"/>
      <c r="B98" s="37"/>
      <c r="C98" s="15"/>
      <c r="D98" s="172"/>
      <c r="E98" s="172"/>
      <c r="F98" s="173"/>
      <c r="G98" s="142"/>
      <c r="H98" s="20"/>
      <c r="J98" s="148"/>
    </row>
    <row r="99" spans="1:11">
      <c r="A99" s="14" t="s">
        <v>97</v>
      </c>
      <c r="B99" s="15" t="s">
        <v>98</v>
      </c>
      <c r="C99" s="27"/>
      <c r="D99" s="172"/>
      <c r="E99" s="172"/>
      <c r="F99" s="173"/>
      <c r="G99" s="142"/>
      <c r="H99" s="20"/>
      <c r="J99" s="148"/>
    </row>
    <row r="100" spans="1:11">
      <c r="A100" s="14"/>
      <c r="B100" s="5">
        <v>1</v>
      </c>
      <c r="C100" s="36" t="s">
        <v>99</v>
      </c>
      <c r="D100" s="172">
        <f>SUM(D101:D102)</f>
        <v>5135792</v>
      </c>
      <c r="E100" s="172">
        <f t="shared" ref="E100" si="24">SUM(E101:E102)</f>
        <v>119279</v>
      </c>
      <c r="F100" s="173">
        <f t="shared" ref="F100:F106" si="25">+D100-E100</f>
        <v>5016513</v>
      </c>
      <c r="G100" s="142">
        <f t="shared" ref="G100:G106" si="26">+F100/E100</f>
        <v>42.056967278397707</v>
      </c>
      <c r="H100" s="23"/>
      <c r="J100" s="148"/>
    </row>
    <row r="101" spans="1:11">
      <c r="A101" s="14"/>
      <c r="B101" s="5"/>
      <c r="C101" s="19" t="s">
        <v>100</v>
      </c>
      <c r="D101" s="159">
        <f>+ROUND(+'12. CE Min'!D497,0)</f>
        <v>0</v>
      </c>
      <c r="E101" s="159">
        <f>+ROUND(+'12. CE Min'!E497,0)</f>
        <v>0</v>
      </c>
      <c r="F101" s="156">
        <f t="shared" si="25"/>
        <v>0</v>
      </c>
      <c r="G101" s="143" t="e">
        <f t="shared" si="26"/>
        <v>#DIV/0!</v>
      </c>
      <c r="H101" s="22"/>
      <c r="J101" s="184"/>
    </row>
    <row r="102" spans="1:11">
      <c r="A102" s="14"/>
      <c r="B102" s="5"/>
      <c r="C102" s="19" t="s">
        <v>101</v>
      </c>
      <c r="D102" s="159">
        <f>+ROUND('12. CE Min'!D498,0)</f>
        <v>5135792</v>
      </c>
      <c r="E102" s="159">
        <f>+ROUND('12. CE Min'!E498,0)</f>
        <v>119279</v>
      </c>
      <c r="F102" s="156">
        <f t="shared" si="25"/>
        <v>5016513</v>
      </c>
      <c r="G102" s="143">
        <f t="shared" si="26"/>
        <v>42.056967278397707</v>
      </c>
      <c r="H102" s="22"/>
      <c r="J102" s="184"/>
    </row>
    <row r="103" spans="1:11">
      <c r="A103" s="14"/>
      <c r="B103" s="5">
        <v>2</v>
      </c>
      <c r="C103" s="15" t="s">
        <v>102</v>
      </c>
      <c r="D103" s="172">
        <f t="shared" ref="D103:E103" si="27">SUM(D104:D105)</f>
        <v>181512</v>
      </c>
      <c r="E103" s="172">
        <f t="shared" si="27"/>
        <v>370438</v>
      </c>
      <c r="F103" s="173">
        <f t="shared" si="25"/>
        <v>-188926</v>
      </c>
      <c r="G103" s="142">
        <f t="shared" si="26"/>
        <v>-0.51000707270852341</v>
      </c>
      <c r="H103" s="23"/>
      <c r="J103" s="184"/>
    </row>
    <row r="104" spans="1:11">
      <c r="A104" s="14"/>
      <c r="B104" s="5"/>
      <c r="C104" s="19" t="s">
        <v>103</v>
      </c>
      <c r="D104" s="159">
        <f>+ROUND(+'12. CE Min'!D523,0)</f>
        <v>0</v>
      </c>
      <c r="E104" s="159">
        <f>+ROUND(+'12. CE Min'!E523,0)</f>
        <v>0</v>
      </c>
      <c r="F104" s="174">
        <f t="shared" si="25"/>
        <v>0</v>
      </c>
      <c r="G104" s="144" t="e">
        <f t="shared" si="26"/>
        <v>#DIV/0!</v>
      </c>
      <c r="H104" s="22"/>
      <c r="J104" s="184"/>
    </row>
    <row r="105" spans="1:11">
      <c r="A105" s="14"/>
      <c r="B105" s="5"/>
      <c r="C105" s="19" t="s">
        <v>104</v>
      </c>
      <c r="D105" s="159">
        <f>+ROUND('12. CE Min'!D524,0)+1</f>
        <v>181512</v>
      </c>
      <c r="E105" s="159">
        <f>+ROUND('12. CE Min'!E524,0)</f>
        <v>370438</v>
      </c>
      <c r="F105" s="174">
        <f t="shared" si="25"/>
        <v>-188926</v>
      </c>
      <c r="G105" s="144">
        <f t="shared" si="26"/>
        <v>-0.51000707270852341</v>
      </c>
      <c r="H105" s="716" t="s">
        <v>3994</v>
      </c>
      <c r="J105" s="184"/>
      <c r="K105" s="680"/>
    </row>
    <row r="106" spans="1:11">
      <c r="A106" s="203" t="s">
        <v>105</v>
      </c>
      <c r="B106" s="204"/>
      <c r="C106" s="204" t="s">
        <v>106</v>
      </c>
      <c r="D106" s="175">
        <f t="shared" ref="D106:E106" si="28">D100-D103</f>
        <v>4954280</v>
      </c>
      <c r="E106" s="175">
        <f t="shared" si="28"/>
        <v>-251159</v>
      </c>
      <c r="F106" s="176">
        <f t="shared" si="25"/>
        <v>5205439</v>
      </c>
      <c r="G106" s="133">
        <f t="shared" si="26"/>
        <v>-20.72567178560195</v>
      </c>
      <c r="H106" s="23"/>
      <c r="J106" s="148"/>
    </row>
    <row r="107" spans="1:11" ht="13.5" thickBot="1">
      <c r="A107" s="38"/>
      <c r="B107" s="39"/>
      <c r="C107" s="40"/>
      <c r="D107" s="177"/>
      <c r="E107" s="177"/>
      <c r="F107" s="178"/>
      <c r="G107" s="145"/>
      <c r="H107" s="20"/>
      <c r="J107" s="148"/>
    </row>
    <row r="108" spans="1:11" ht="13.5" thickBot="1">
      <c r="A108" s="205" t="s">
        <v>107</v>
      </c>
      <c r="B108" s="206"/>
      <c r="C108" s="206"/>
      <c r="D108" s="179">
        <f t="shared" ref="D108:E108" si="29">D87+D92+D97+D106</f>
        <v>3986412</v>
      </c>
      <c r="E108" s="179">
        <f t="shared" si="29"/>
        <v>2296869</v>
      </c>
      <c r="F108" s="180">
        <f>+D108-E108</f>
        <v>1689543</v>
      </c>
      <c r="G108" s="134">
        <f>+F108/E108</f>
        <v>0.73558526846764005</v>
      </c>
      <c r="H108" s="23"/>
      <c r="J108" s="148"/>
    </row>
    <row r="109" spans="1:11">
      <c r="A109" s="18"/>
      <c r="B109" s="25"/>
      <c r="C109" s="41"/>
      <c r="D109" s="181"/>
      <c r="E109" s="181"/>
      <c r="F109" s="174"/>
      <c r="G109" s="144"/>
      <c r="H109" s="20"/>
      <c r="J109" s="184"/>
    </row>
    <row r="110" spans="1:11">
      <c r="A110" s="14" t="s">
        <v>108</v>
      </c>
      <c r="B110" s="15" t="s">
        <v>109</v>
      </c>
      <c r="C110" s="27"/>
      <c r="D110" s="172"/>
      <c r="E110" s="172"/>
      <c r="F110" s="173"/>
      <c r="G110" s="142"/>
      <c r="H110" s="20"/>
      <c r="J110" s="148"/>
    </row>
    <row r="111" spans="1:11">
      <c r="A111" s="14"/>
      <c r="B111" s="5" t="s">
        <v>86</v>
      </c>
      <c r="C111" s="36" t="s">
        <v>110</v>
      </c>
      <c r="D111" s="172">
        <f t="shared" ref="D111:E111" si="30">SUM(D112:D115)</f>
        <v>944994</v>
      </c>
      <c r="E111" s="172">
        <f t="shared" si="30"/>
        <v>864090</v>
      </c>
      <c r="F111" s="173">
        <f t="shared" ref="F111:F118" si="31">+D111-E111</f>
        <v>80904</v>
      </c>
      <c r="G111" s="142">
        <f t="shared" ref="G111:G118" si="32">+F111/E111</f>
        <v>9.3629135853904102E-2</v>
      </c>
      <c r="H111" s="23"/>
      <c r="J111" s="148"/>
    </row>
    <row r="112" spans="1:11">
      <c r="A112" s="18"/>
      <c r="B112" s="21"/>
      <c r="C112" s="19" t="s">
        <v>111</v>
      </c>
      <c r="D112" s="159">
        <f>+ROUND(+'12. CE Min'!D558,0)</f>
        <v>710793</v>
      </c>
      <c r="E112" s="159">
        <f>+ROUND(+'12. CE Min'!E558,0)</f>
        <v>636118</v>
      </c>
      <c r="F112" s="156">
        <f t="shared" si="31"/>
        <v>74675</v>
      </c>
      <c r="G112" s="143">
        <f t="shared" si="32"/>
        <v>0.11739174178375709</v>
      </c>
      <c r="H112" s="22"/>
      <c r="J112" s="184"/>
    </row>
    <row r="113" spans="1:10">
      <c r="A113" s="18"/>
      <c r="B113" s="21"/>
      <c r="C113" s="19" t="s">
        <v>112</v>
      </c>
      <c r="D113" s="159">
        <f>+ROUND(+'12. CE Min'!D559,0)</f>
        <v>234201</v>
      </c>
      <c r="E113" s="159">
        <f>+ROUND(+'12. CE Min'!E559,0)</f>
        <v>227972</v>
      </c>
      <c r="F113" s="156">
        <f t="shared" si="31"/>
        <v>6229</v>
      </c>
      <c r="G113" s="143">
        <f t="shared" si="32"/>
        <v>2.7323530959942451E-2</v>
      </c>
      <c r="H113" s="22"/>
      <c r="J113" s="184"/>
    </row>
    <row r="114" spans="1:10">
      <c r="A114" s="18"/>
      <c r="B114" s="21"/>
      <c r="C114" s="19" t="s">
        <v>113</v>
      </c>
      <c r="D114" s="159">
        <f>+ROUND(+'12. CE Min'!D560,0)</f>
        <v>0</v>
      </c>
      <c r="E114" s="159">
        <f>+ROUND(+'12. CE Min'!E560,0)</f>
        <v>0</v>
      </c>
      <c r="F114" s="156">
        <f t="shared" si="31"/>
        <v>0</v>
      </c>
      <c r="G114" s="143" t="e">
        <f t="shared" si="32"/>
        <v>#DIV/0!</v>
      </c>
      <c r="H114" s="22"/>
      <c r="J114" s="184"/>
    </row>
    <row r="115" spans="1:10">
      <c r="A115" s="18"/>
      <c r="B115" s="21"/>
      <c r="C115" s="19" t="s">
        <v>114</v>
      </c>
      <c r="D115" s="159">
        <f>+ROUND(+'12. CE Min'!D561,0)</f>
        <v>0</v>
      </c>
      <c r="E115" s="159">
        <f>+ROUND(+'12. CE Min'!E561,0)</f>
        <v>0</v>
      </c>
      <c r="F115" s="156">
        <f t="shared" si="31"/>
        <v>0</v>
      </c>
      <c r="G115" s="143" t="e">
        <f t="shared" si="32"/>
        <v>#DIV/0!</v>
      </c>
      <c r="H115" s="22"/>
      <c r="J115" s="184"/>
    </row>
    <row r="116" spans="1:10">
      <c r="A116" s="14"/>
      <c r="B116" s="5" t="s">
        <v>88</v>
      </c>
      <c r="C116" s="15" t="s">
        <v>115</v>
      </c>
      <c r="D116" s="167">
        <f>+ROUND(+'12. CE Min'!D562,0)</f>
        <v>166457</v>
      </c>
      <c r="E116" s="167">
        <f>+ROUND(+'12. CE Min'!E562,0)</f>
        <v>0</v>
      </c>
      <c r="F116" s="173">
        <f t="shared" si="31"/>
        <v>166457</v>
      </c>
      <c r="G116" s="142" t="e">
        <f t="shared" si="32"/>
        <v>#DIV/0!</v>
      </c>
      <c r="H116" s="23"/>
      <c r="J116" s="148"/>
    </row>
    <row r="117" spans="1:10">
      <c r="A117" s="14"/>
      <c r="B117" s="5" t="s">
        <v>116</v>
      </c>
      <c r="C117" s="42" t="s">
        <v>117</v>
      </c>
      <c r="D117" s="167">
        <f>+ROUND(+'12. CE Min'!D565,0)</f>
        <v>0</v>
      </c>
      <c r="E117" s="167">
        <f>+ROUND(+'12. CE Min'!E565,0)</f>
        <v>0</v>
      </c>
      <c r="F117" s="182">
        <f t="shared" si="31"/>
        <v>0</v>
      </c>
      <c r="G117" s="146" t="e">
        <f t="shared" si="32"/>
        <v>#DIV/0!</v>
      </c>
      <c r="H117" s="20"/>
      <c r="J117" s="148"/>
    </row>
    <row r="118" spans="1:10">
      <c r="A118" s="203" t="s">
        <v>118</v>
      </c>
      <c r="B118" s="204"/>
      <c r="C118" s="204"/>
      <c r="D118" s="175">
        <f t="shared" ref="D118:E118" si="33">D111+D116+D117</f>
        <v>1111451</v>
      </c>
      <c r="E118" s="175">
        <f t="shared" si="33"/>
        <v>864090</v>
      </c>
      <c r="F118" s="176">
        <f t="shared" si="31"/>
        <v>247361</v>
      </c>
      <c r="G118" s="133">
        <f t="shared" si="32"/>
        <v>0.28626763415847889</v>
      </c>
      <c r="H118" s="23"/>
      <c r="J118" s="148"/>
    </row>
    <row r="119" spans="1:10">
      <c r="A119" s="18"/>
      <c r="B119" s="25"/>
      <c r="C119" s="16"/>
      <c r="D119" s="174"/>
      <c r="E119" s="174"/>
      <c r="F119" s="174"/>
      <c r="G119" s="144"/>
      <c r="H119" s="20"/>
    </row>
    <row r="120" spans="1:10" ht="13.5" thickBot="1">
      <c r="A120" s="43" t="s">
        <v>119</v>
      </c>
      <c r="B120" s="44"/>
      <c r="C120" s="45"/>
      <c r="D120" s="183">
        <f>D108-D118</f>
        <v>2874961</v>
      </c>
      <c r="E120" s="183">
        <f t="shared" ref="E120" si="34">E108-E118</f>
        <v>1432779</v>
      </c>
      <c r="F120" s="183">
        <f>+D120-E120</f>
        <v>1442182</v>
      </c>
      <c r="G120" s="147">
        <f>+F120/E120</f>
        <v>1.0065627706715412</v>
      </c>
      <c r="H120" s="23"/>
    </row>
    <row r="122" spans="1:10">
      <c r="A122" s="46"/>
      <c r="B122" s="46"/>
      <c r="C122" s="46"/>
      <c r="D122" s="47"/>
      <c r="E122" s="47"/>
      <c r="F122" s="47"/>
      <c r="G122" s="284"/>
      <c r="H122" s="48"/>
    </row>
    <row r="125" spans="1:10">
      <c r="C125" s="46"/>
      <c r="D125" s="47"/>
      <c r="E125" s="47"/>
      <c r="G125" s="285"/>
      <c r="H125" s="49"/>
    </row>
    <row r="130" spans="7:8">
      <c r="G130" s="286"/>
      <c r="H130" s="3"/>
    </row>
  </sheetData>
  <mergeCells count="4">
    <mergeCell ref="A4:C4"/>
    <mergeCell ref="F4:G4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9" firstPageNumber="4" fitToHeight="1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7"/>
  <sheetViews>
    <sheetView tabSelected="1" topLeftCell="A55" workbookViewId="0">
      <selection activeCell="E108" sqref="E108"/>
    </sheetView>
  </sheetViews>
  <sheetFormatPr defaultRowHeight="12.75"/>
  <cols>
    <col min="1" max="1" width="6.28515625" style="484" customWidth="1"/>
    <col min="2" max="2" width="60.42578125" style="484" customWidth="1"/>
    <col min="3" max="3" width="15" style="701" customWidth="1"/>
    <col min="4" max="4" width="14.85546875" style="317" customWidth="1"/>
    <col min="5" max="5" width="12" style="483" bestFit="1" customWidth="1"/>
    <col min="6" max="6" width="85.28515625" style="483" bestFit="1" customWidth="1"/>
    <col min="7" max="249" width="9.140625" style="484"/>
    <col min="250" max="250" width="6.28515625" style="484" customWidth="1"/>
    <col min="251" max="251" width="72.28515625" style="484" bestFit="1" customWidth="1"/>
    <col min="252" max="252" width="15" style="484" customWidth="1"/>
    <col min="253" max="253" width="14.85546875" style="484" customWidth="1"/>
    <col min="254" max="254" width="8.5703125" style="484" customWidth="1"/>
    <col min="255" max="505" width="9.140625" style="484"/>
    <col min="506" max="506" width="6.28515625" style="484" customWidth="1"/>
    <col min="507" max="507" width="72.28515625" style="484" bestFit="1" customWidth="1"/>
    <col min="508" max="508" width="15" style="484" customWidth="1"/>
    <col min="509" max="509" width="14.85546875" style="484" customWidth="1"/>
    <col min="510" max="510" width="8.5703125" style="484" customWidth="1"/>
    <col min="511" max="761" width="9.140625" style="484"/>
    <col min="762" max="762" width="6.28515625" style="484" customWidth="1"/>
    <col min="763" max="763" width="72.28515625" style="484" bestFit="1" customWidth="1"/>
    <col min="764" max="764" width="15" style="484" customWidth="1"/>
    <col min="765" max="765" width="14.85546875" style="484" customWidth="1"/>
    <col min="766" max="766" width="8.5703125" style="484" customWidth="1"/>
    <col min="767" max="1017" width="9.140625" style="484"/>
    <col min="1018" max="1018" width="6.28515625" style="484" customWidth="1"/>
    <col min="1019" max="1019" width="72.28515625" style="484" bestFit="1" customWidth="1"/>
    <col min="1020" max="1020" width="15" style="484" customWidth="1"/>
    <col min="1021" max="1021" width="14.85546875" style="484" customWidth="1"/>
    <col min="1022" max="1022" width="8.5703125" style="484" customWidth="1"/>
    <col min="1023" max="1273" width="9.140625" style="484"/>
    <col min="1274" max="1274" width="6.28515625" style="484" customWidth="1"/>
    <col min="1275" max="1275" width="72.28515625" style="484" bestFit="1" customWidth="1"/>
    <col min="1276" max="1276" width="15" style="484" customWidth="1"/>
    <col min="1277" max="1277" width="14.85546875" style="484" customWidth="1"/>
    <col min="1278" max="1278" width="8.5703125" style="484" customWidth="1"/>
    <col min="1279" max="1529" width="9.140625" style="484"/>
    <col min="1530" max="1530" width="6.28515625" style="484" customWidth="1"/>
    <col min="1531" max="1531" width="72.28515625" style="484" bestFit="1" customWidth="1"/>
    <col min="1532" max="1532" width="15" style="484" customWidth="1"/>
    <col min="1533" max="1533" width="14.85546875" style="484" customWidth="1"/>
    <col min="1534" max="1534" width="8.5703125" style="484" customWidth="1"/>
    <col min="1535" max="1785" width="9.140625" style="484"/>
    <col min="1786" max="1786" width="6.28515625" style="484" customWidth="1"/>
    <col min="1787" max="1787" width="72.28515625" style="484" bestFit="1" customWidth="1"/>
    <col min="1788" max="1788" width="15" style="484" customWidth="1"/>
    <col min="1789" max="1789" width="14.85546875" style="484" customWidth="1"/>
    <col min="1790" max="1790" width="8.5703125" style="484" customWidth="1"/>
    <col min="1791" max="2041" width="9.140625" style="484"/>
    <col min="2042" max="2042" width="6.28515625" style="484" customWidth="1"/>
    <col min="2043" max="2043" width="72.28515625" style="484" bestFit="1" customWidth="1"/>
    <col min="2044" max="2044" width="15" style="484" customWidth="1"/>
    <col min="2045" max="2045" width="14.85546875" style="484" customWidth="1"/>
    <col min="2046" max="2046" width="8.5703125" style="484" customWidth="1"/>
    <col min="2047" max="2297" width="9.140625" style="484"/>
    <col min="2298" max="2298" width="6.28515625" style="484" customWidth="1"/>
    <col min="2299" max="2299" width="72.28515625" style="484" bestFit="1" customWidth="1"/>
    <col min="2300" max="2300" width="15" style="484" customWidth="1"/>
    <col min="2301" max="2301" width="14.85546875" style="484" customWidth="1"/>
    <col min="2302" max="2302" width="8.5703125" style="484" customWidth="1"/>
    <col min="2303" max="2553" width="9.140625" style="484"/>
    <col min="2554" max="2554" width="6.28515625" style="484" customWidth="1"/>
    <col min="2555" max="2555" width="72.28515625" style="484" bestFit="1" customWidth="1"/>
    <col min="2556" max="2556" width="15" style="484" customWidth="1"/>
    <col min="2557" max="2557" width="14.85546875" style="484" customWidth="1"/>
    <col min="2558" max="2558" width="8.5703125" style="484" customWidth="1"/>
    <col min="2559" max="2809" width="9.140625" style="484"/>
    <col min="2810" max="2810" width="6.28515625" style="484" customWidth="1"/>
    <col min="2811" max="2811" width="72.28515625" style="484" bestFit="1" customWidth="1"/>
    <col min="2812" max="2812" width="15" style="484" customWidth="1"/>
    <col min="2813" max="2813" width="14.85546875" style="484" customWidth="1"/>
    <col min="2814" max="2814" width="8.5703125" style="484" customWidth="1"/>
    <col min="2815" max="3065" width="9.140625" style="484"/>
    <col min="3066" max="3066" width="6.28515625" style="484" customWidth="1"/>
    <col min="3067" max="3067" width="72.28515625" style="484" bestFit="1" customWidth="1"/>
    <col min="3068" max="3068" width="15" style="484" customWidth="1"/>
    <col min="3069" max="3069" width="14.85546875" style="484" customWidth="1"/>
    <col min="3070" max="3070" width="8.5703125" style="484" customWidth="1"/>
    <col min="3071" max="3321" width="9.140625" style="484"/>
    <col min="3322" max="3322" width="6.28515625" style="484" customWidth="1"/>
    <col min="3323" max="3323" width="72.28515625" style="484" bestFit="1" customWidth="1"/>
    <col min="3324" max="3324" width="15" style="484" customWidth="1"/>
    <col min="3325" max="3325" width="14.85546875" style="484" customWidth="1"/>
    <col min="3326" max="3326" width="8.5703125" style="484" customWidth="1"/>
    <col min="3327" max="3577" width="9.140625" style="484"/>
    <col min="3578" max="3578" width="6.28515625" style="484" customWidth="1"/>
    <col min="3579" max="3579" width="72.28515625" style="484" bestFit="1" customWidth="1"/>
    <col min="3580" max="3580" width="15" style="484" customWidth="1"/>
    <col min="3581" max="3581" width="14.85546875" style="484" customWidth="1"/>
    <col min="3582" max="3582" width="8.5703125" style="484" customWidth="1"/>
    <col min="3583" max="3833" width="9.140625" style="484"/>
    <col min="3834" max="3834" width="6.28515625" style="484" customWidth="1"/>
    <col min="3835" max="3835" width="72.28515625" style="484" bestFit="1" customWidth="1"/>
    <col min="3836" max="3836" width="15" style="484" customWidth="1"/>
    <col min="3837" max="3837" width="14.85546875" style="484" customWidth="1"/>
    <col min="3838" max="3838" width="8.5703125" style="484" customWidth="1"/>
    <col min="3839" max="4089" width="9.140625" style="484"/>
    <col min="4090" max="4090" width="6.28515625" style="484" customWidth="1"/>
    <col min="4091" max="4091" width="72.28515625" style="484" bestFit="1" customWidth="1"/>
    <col min="4092" max="4092" width="15" style="484" customWidth="1"/>
    <col min="4093" max="4093" width="14.85546875" style="484" customWidth="1"/>
    <col min="4094" max="4094" width="8.5703125" style="484" customWidth="1"/>
    <col min="4095" max="4345" width="9.140625" style="484"/>
    <col min="4346" max="4346" width="6.28515625" style="484" customWidth="1"/>
    <col min="4347" max="4347" width="72.28515625" style="484" bestFit="1" customWidth="1"/>
    <col min="4348" max="4348" width="15" style="484" customWidth="1"/>
    <col min="4349" max="4349" width="14.85546875" style="484" customWidth="1"/>
    <col min="4350" max="4350" width="8.5703125" style="484" customWidth="1"/>
    <col min="4351" max="4601" width="9.140625" style="484"/>
    <col min="4602" max="4602" width="6.28515625" style="484" customWidth="1"/>
    <col min="4603" max="4603" width="72.28515625" style="484" bestFit="1" customWidth="1"/>
    <col min="4604" max="4604" width="15" style="484" customWidth="1"/>
    <col min="4605" max="4605" width="14.85546875" style="484" customWidth="1"/>
    <col min="4606" max="4606" width="8.5703125" style="484" customWidth="1"/>
    <col min="4607" max="4857" width="9.140625" style="484"/>
    <col min="4858" max="4858" width="6.28515625" style="484" customWidth="1"/>
    <col min="4859" max="4859" width="72.28515625" style="484" bestFit="1" customWidth="1"/>
    <col min="4860" max="4860" width="15" style="484" customWidth="1"/>
    <col min="4861" max="4861" width="14.85546875" style="484" customWidth="1"/>
    <col min="4862" max="4862" width="8.5703125" style="484" customWidth="1"/>
    <col min="4863" max="5113" width="9.140625" style="484"/>
    <col min="5114" max="5114" width="6.28515625" style="484" customWidth="1"/>
    <col min="5115" max="5115" width="72.28515625" style="484" bestFit="1" customWidth="1"/>
    <col min="5116" max="5116" width="15" style="484" customWidth="1"/>
    <col min="5117" max="5117" width="14.85546875" style="484" customWidth="1"/>
    <col min="5118" max="5118" width="8.5703125" style="484" customWidth="1"/>
    <col min="5119" max="5369" width="9.140625" style="484"/>
    <col min="5370" max="5370" width="6.28515625" style="484" customWidth="1"/>
    <col min="5371" max="5371" width="72.28515625" style="484" bestFit="1" customWidth="1"/>
    <col min="5372" max="5372" width="15" style="484" customWidth="1"/>
    <col min="5373" max="5373" width="14.85546875" style="484" customWidth="1"/>
    <col min="5374" max="5374" width="8.5703125" style="484" customWidth="1"/>
    <col min="5375" max="5625" width="9.140625" style="484"/>
    <col min="5626" max="5626" width="6.28515625" style="484" customWidth="1"/>
    <col min="5627" max="5627" width="72.28515625" style="484" bestFit="1" customWidth="1"/>
    <col min="5628" max="5628" width="15" style="484" customWidth="1"/>
    <col min="5629" max="5629" width="14.85546875" style="484" customWidth="1"/>
    <col min="5630" max="5630" width="8.5703125" style="484" customWidth="1"/>
    <col min="5631" max="5881" width="9.140625" style="484"/>
    <col min="5882" max="5882" width="6.28515625" style="484" customWidth="1"/>
    <col min="5883" max="5883" width="72.28515625" style="484" bestFit="1" customWidth="1"/>
    <col min="5884" max="5884" width="15" style="484" customWidth="1"/>
    <col min="5885" max="5885" width="14.85546875" style="484" customWidth="1"/>
    <col min="5886" max="5886" width="8.5703125" style="484" customWidth="1"/>
    <col min="5887" max="6137" width="9.140625" style="484"/>
    <col min="6138" max="6138" width="6.28515625" style="484" customWidth="1"/>
    <col min="6139" max="6139" width="72.28515625" style="484" bestFit="1" customWidth="1"/>
    <col min="6140" max="6140" width="15" style="484" customWidth="1"/>
    <col min="6141" max="6141" width="14.85546875" style="484" customWidth="1"/>
    <col min="6142" max="6142" width="8.5703125" style="484" customWidth="1"/>
    <col min="6143" max="6393" width="9.140625" style="484"/>
    <col min="6394" max="6394" width="6.28515625" style="484" customWidth="1"/>
    <col min="6395" max="6395" width="72.28515625" style="484" bestFit="1" customWidth="1"/>
    <col min="6396" max="6396" width="15" style="484" customWidth="1"/>
    <col min="6397" max="6397" width="14.85546875" style="484" customWidth="1"/>
    <col min="6398" max="6398" width="8.5703125" style="484" customWidth="1"/>
    <col min="6399" max="6649" width="9.140625" style="484"/>
    <col min="6650" max="6650" width="6.28515625" style="484" customWidth="1"/>
    <col min="6651" max="6651" width="72.28515625" style="484" bestFit="1" customWidth="1"/>
    <col min="6652" max="6652" width="15" style="484" customWidth="1"/>
    <col min="6653" max="6653" width="14.85546875" style="484" customWidth="1"/>
    <col min="6654" max="6654" width="8.5703125" style="484" customWidth="1"/>
    <col min="6655" max="6905" width="9.140625" style="484"/>
    <col min="6906" max="6906" width="6.28515625" style="484" customWidth="1"/>
    <col min="6907" max="6907" width="72.28515625" style="484" bestFit="1" customWidth="1"/>
    <col min="6908" max="6908" width="15" style="484" customWidth="1"/>
    <col min="6909" max="6909" width="14.85546875" style="484" customWidth="1"/>
    <col min="6910" max="6910" width="8.5703125" style="484" customWidth="1"/>
    <col min="6911" max="7161" width="9.140625" style="484"/>
    <col min="7162" max="7162" width="6.28515625" style="484" customWidth="1"/>
    <col min="7163" max="7163" width="72.28515625" style="484" bestFit="1" customWidth="1"/>
    <col min="7164" max="7164" width="15" style="484" customWidth="1"/>
    <col min="7165" max="7165" width="14.85546875" style="484" customWidth="1"/>
    <col min="7166" max="7166" width="8.5703125" style="484" customWidth="1"/>
    <col min="7167" max="7417" width="9.140625" style="484"/>
    <col min="7418" max="7418" width="6.28515625" style="484" customWidth="1"/>
    <col min="7419" max="7419" width="72.28515625" style="484" bestFit="1" customWidth="1"/>
    <col min="7420" max="7420" width="15" style="484" customWidth="1"/>
    <col min="7421" max="7421" width="14.85546875" style="484" customWidth="1"/>
    <col min="7422" max="7422" width="8.5703125" style="484" customWidth="1"/>
    <col min="7423" max="7673" width="9.140625" style="484"/>
    <col min="7674" max="7674" width="6.28515625" style="484" customWidth="1"/>
    <col min="7675" max="7675" width="72.28515625" style="484" bestFit="1" customWidth="1"/>
    <col min="7676" max="7676" width="15" style="484" customWidth="1"/>
    <col min="7677" max="7677" width="14.85546875" style="484" customWidth="1"/>
    <col min="7678" max="7678" width="8.5703125" style="484" customWidth="1"/>
    <col min="7679" max="7929" width="9.140625" style="484"/>
    <col min="7930" max="7930" width="6.28515625" style="484" customWidth="1"/>
    <col min="7931" max="7931" width="72.28515625" style="484" bestFit="1" customWidth="1"/>
    <col min="7932" max="7932" width="15" style="484" customWidth="1"/>
    <col min="7933" max="7933" width="14.85546875" style="484" customWidth="1"/>
    <col min="7934" max="7934" width="8.5703125" style="484" customWidth="1"/>
    <col min="7935" max="8185" width="9.140625" style="484"/>
    <col min="8186" max="8186" width="6.28515625" style="484" customWidth="1"/>
    <col min="8187" max="8187" width="72.28515625" style="484" bestFit="1" customWidth="1"/>
    <col min="8188" max="8188" width="15" style="484" customWidth="1"/>
    <col min="8189" max="8189" width="14.85546875" style="484" customWidth="1"/>
    <col min="8190" max="8190" width="8.5703125" style="484" customWidth="1"/>
    <col min="8191" max="8441" width="9.140625" style="484"/>
    <col min="8442" max="8442" width="6.28515625" style="484" customWidth="1"/>
    <col min="8443" max="8443" width="72.28515625" style="484" bestFit="1" customWidth="1"/>
    <col min="8444" max="8444" width="15" style="484" customWidth="1"/>
    <col min="8445" max="8445" width="14.85546875" style="484" customWidth="1"/>
    <col min="8446" max="8446" width="8.5703125" style="484" customWidth="1"/>
    <col min="8447" max="8697" width="9.140625" style="484"/>
    <col min="8698" max="8698" width="6.28515625" style="484" customWidth="1"/>
    <col min="8699" max="8699" width="72.28515625" style="484" bestFit="1" customWidth="1"/>
    <col min="8700" max="8700" width="15" style="484" customWidth="1"/>
    <col min="8701" max="8701" width="14.85546875" style="484" customWidth="1"/>
    <col min="8702" max="8702" width="8.5703125" style="484" customWidth="1"/>
    <col min="8703" max="8953" width="9.140625" style="484"/>
    <col min="8954" max="8954" width="6.28515625" style="484" customWidth="1"/>
    <col min="8955" max="8955" width="72.28515625" style="484" bestFit="1" customWidth="1"/>
    <col min="8956" max="8956" width="15" style="484" customWidth="1"/>
    <col min="8957" max="8957" width="14.85546875" style="484" customWidth="1"/>
    <col min="8958" max="8958" width="8.5703125" style="484" customWidth="1"/>
    <col min="8959" max="9209" width="9.140625" style="484"/>
    <col min="9210" max="9210" width="6.28515625" style="484" customWidth="1"/>
    <col min="9211" max="9211" width="72.28515625" style="484" bestFit="1" customWidth="1"/>
    <col min="9212" max="9212" width="15" style="484" customWidth="1"/>
    <col min="9213" max="9213" width="14.85546875" style="484" customWidth="1"/>
    <col min="9214" max="9214" width="8.5703125" style="484" customWidth="1"/>
    <col min="9215" max="9465" width="9.140625" style="484"/>
    <col min="9466" max="9466" width="6.28515625" style="484" customWidth="1"/>
    <col min="9467" max="9467" width="72.28515625" style="484" bestFit="1" customWidth="1"/>
    <col min="9468" max="9468" width="15" style="484" customWidth="1"/>
    <col min="9469" max="9469" width="14.85546875" style="484" customWidth="1"/>
    <col min="9470" max="9470" width="8.5703125" style="484" customWidth="1"/>
    <col min="9471" max="9721" width="9.140625" style="484"/>
    <col min="9722" max="9722" width="6.28515625" style="484" customWidth="1"/>
    <col min="9723" max="9723" width="72.28515625" style="484" bestFit="1" customWidth="1"/>
    <col min="9724" max="9724" width="15" style="484" customWidth="1"/>
    <col min="9725" max="9725" width="14.85546875" style="484" customWidth="1"/>
    <col min="9726" max="9726" width="8.5703125" style="484" customWidth="1"/>
    <col min="9727" max="9977" width="9.140625" style="484"/>
    <col min="9978" max="9978" width="6.28515625" style="484" customWidth="1"/>
    <col min="9979" max="9979" width="72.28515625" style="484" bestFit="1" customWidth="1"/>
    <col min="9980" max="9980" width="15" style="484" customWidth="1"/>
    <col min="9981" max="9981" width="14.85546875" style="484" customWidth="1"/>
    <col min="9982" max="9982" width="8.5703125" style="484" customWidth="1"/>
    <col min="9983" max="10233" width="9.140625" style="484"/>
    <col min="10234" max="10234" width="6.28515625" style="484" customWidth="1"/>
    <col min="10235" max="10235" width="72.28515625" style="484" bestFit="1" customWidth="1"/>
    <col min="10236" max="10236" width="15" style="484" customWidth="1"/>
    <col min="10237" max="10237" width="14.85546875" style="484" customWidth="1"/>
    <col min="10238" max="10238" width="8.5703125" style="484" customWidth="1"/>
    <col min="10239" max="10489" width="9.140625" style="484"/>
    <col min="10490" max="10490" width="6.28515625" style="484" customWidth="1"/>
    <col min="10491" max="10491" width="72.28515625" style="484" bestFit="1" customWidth="1"/>
    <col min="10492" max="10492" width="15" style="484" customWidth="1"/>
    <col min="10493" max="10493" width="14.85546875" style="484" customWidth="1"/>
    <col min="10494" max="10494" width="8.5703125" style="484" customWidth="1"/>
    <col min="10495" max="10745" width="9.140625" style="484"/>
    <col min="10746" max="10746" width="6.28515625" style="484" customWidth="1"/>
    <col min="10747" max="10747" width="72.28515625" style="484" bestFit="1" customWidth="1"/>
    <col min="10748" max="10748" width="15" style="484" customWidth="1"/>
    <col min="10749" max="10749" width="14.85546875" style="484" customWidth="1"/>
    <col min="10750" max="10750" width="8.5703125" style="484" customWidth="1"/>
    <col min="10751" max="11001" width="9.140625" style="484"/>
    <col min="11002" max="11002" width="6.28515625" style="484" customWidth="1"/>
    <col min="11003" max="11003" width="72.28515625" style="484" bestFit="1" customWidth="1"/>
    <col min="11004" max="11004" width="15" style="484" customWidth="1"/>
    <col min="11005" max="11005" width="14.85546875" style="484" customWidth="1"/>
    <col min="11006" max="11006" width="8.5703125" style="484" customWidth="1"/>
    <col min="11007" max="11257" width="9.140625" style="484"/>
    <col min="11258" max="11258" width="6.28515625" style="484" customWidth="1"/>
    <col min="11259" max="11259" width="72.28515625" style="484" bestFit="1" customWidth="1"/>
    <col min="11260" max="11260" width="15" style="484" customWidth="1"/>
    <col min="11261" max="11261" width="14.85546875" style="484" customWidth="1"/>
    <col min="11262" max="11262" width="8.5703125" style="484" customWidth="1"/>
    <col min="11263" max="11513" width="9.140625" style="484"/>
    <col min="11514" max="11514" width="6.28515625" style="484" customWidth="1"/>
    <col min="11515" max="11515" width="72.28515625" style="484" bestFit="1" customWidth="1"/>
    <col min="11516" max="11516" width="15" style="484" customWidth="1"/>
    <col min="11517" max="11517" width="14.85546875" style="484" customWidth="1"/>
    <col min="11518" max="11518" width="8.5703125" style="484" customWidth="1"/>
    <col min="11519" max="11769" width="9.140625" style="484"/>
    <col min="11770" max="11770" width="6.28515625" style="484" customWidth="1"/>
    <col min="11771" max="11771" width="72.28515625" style="484" bestFit="1" customWidth="1"/>
    <col min="11772" max="11772" width="15" style="484" customWidth="1"/>
    <col min="11773" max="11773" width="14.85546875" style="484" customWidth="1"/>
    <col min="11774" max="11774" width="8.5703125" style="484" customWidth="1"/>
    <col min="11775" max="12025" width="9.140625" style="484"/>
    <col min="12026" max="12026" width="6.28515625" style="484" customWidth="1"/>
    <col min="12027" max="12027" width="72.28515625" style="484" bestFit="1" customWidth="1"/>
    <col min="12028" max="12028" width="15" style="484" customWidth="1"/>
    <col min="12029" max="12029" width="14.85546875" style="484" customWidth="1"/>
    <col min="12030" max="12030" width="8.5703125" style="484" customWidth="1"/>
    <col min="12031" max="12281" width="9.140625" style="484"/>
    <col min="12282" max="12282" width="6.28515625" style="484" customWidth="1"/>
    <col min="12283" max="12283" width="72.28515625" style="484" bestFit="1" customWidth="1"/>
    <col min="12284" max="12284" width="15" style="484" customWidth="1"/>
    <col min="12285" max="12285" width="14.85546875" style="484" customWidth="1"/>
    <col min="12286" max="12286" width="8.5703125" style="484" customWidth="1"/>
    <col min="12287" max="12537" width="9.140625" style="484"/>
    <col min="12538" max="12538" width="6.28515625" style="484" customWidth="1"/>
    <col min="12539" max="12539" width="72.28515625" style="484" bestFit="1" customWidth="1"/>
    <col min="12540" max="12540" width="15" style="484" customWidth="1"/>
    <col min="12541" max="12541" width="14.85546875" style="484" customWidth="1"/>
    <col min="12542" max="12542" width="8.5703125" style="484" customWidth="1"/>
    <col min="12543" max="12793" width="9.140625" style="484"/>
    <col min="12794" max="12794" width="6.28515625" style="484" customWidth="1"/>
    <col min="12795" max="12795" width="72.28515625" style="484" bestFit="1" customWidth="1"/>
    <col min="12796" max="12796" width="15" style="484" customWidth="1"/>
    <col min="12797" max="12797" width="14.85546875" style="484" customWidth="1"/>
    <col min="12798" max="12798" width="8.5703125" style="484" customWidth="1"/>
    <col min="12799" max="13049" width="9.140625" style="484"/>
    <col min="13050" max="13050" width="6.28515625" style="484" customWidth="1"/>
    <col min="13051" max="13051" width="72.28515625" style="484" bestFit="1" customWidth="1"/>
    <col min="13052" max="13052" width="15" style="484" customWidth="1"/>
    <col min="13053" max="13053" width="14.85546875" style="484" customWidth="1"/>
    <col min="13054" max="13054" width="8.5703125" style="484" customWidth="1"/>
    <col min="13055" max="13305" width="9.140625" style="484"/>
    <col min="13306" max="13306" width="6.28515625" style="484" customWidth="1"/>
    <col min="13307" max="13307" width="72.28515625" style="484" bestFit="1" customWidth="1"/>
    <col min="13308" max="13308" width="15" style="484" customWidth="1"/>
    <col min="13309" max="13309" width="14.85546875" style="484" customWidth="1"/>
    <col min="13310" max="13310" width="8.5703125" style="484" customWidth="1"/>
    <col min="13311" max="13561" width="9.140625" style="484"/>
    <col min="13562" max="13562" width="6.28515625" style="484" customWidth="1"/>
    <col min="13563" max="13563" width="72.28515625" style="484" bestFit="1" customWidth="1"/>
    <col min="13564" max="13564" width="15" style="484" customWidth="1"/>
    <col min="13565" max="13565" width="14.85546875" style="484" customWidth="1"/>
    <col min="13566" max="13566" width="8.5703125" style="484" customWidth="1"/>
    <col min="13567" max="13817" width="9.140625" style="484"/>
    <col min="13818" max="13818" width="6.28515625" style="484" customWidth="1"/>
    <col min="13819" max="13819" width="72.28515625" style="484" bestFit="1" customWidth="1"/>
    <col min="13820" max="13820" width="15" style="484" customWidth="1"/>
    <col min="13821" max="13821" width="14.85546875" style="484" customWidth="1"/>
    <col min="13822" max="13822" width="8.5703125" style="484" customWidth="1"/>
    <col min="13823" max="14073" width="9.140625" style="484"/>
    <col min="14074" max="14074" width="6.28515625" style="484" customWidth="1"/>
    <col min="14075" max="14075" width="72.28515625" style="484" bestFit="1" customWidth="1"/>
    <col min="14076" max="14076" width="15" style="484" customWidth="1"/>
    <col min="14077" max="14077" width="14.85546875" style="484" customWidth="1"/>
    <col min="14078" max="14078" width="8.5703125" style="484" customWidth="1"/>
    <col min="14079" max="14329" width="9.140625" style="484"/>
    <col min="14330" max="14330" width="6.28515625" style="484" customWidth="1"/>
    <col min="14331" max="14331" width="72.28515625" style="484" bestFit="1" customWidth="1"/>
    <col min="14332" max="14332" width="15" style="484" customWidth="1"/>
    <col min="14333" max="14333" width="14.85546875" style="484" customWidth="1"/>
    <col min="14334" max="14334" width="8.5703125" style="484" customWidth="1"/>
    <col min="14335" max="14585" width="9.140625" style="484"/>
    <col min="14586" max="14586" width="6.28515625" style="484" customWidth="1"/>
    <col min="14587" max="14587" width="72.28515625" style="484" bestFit="1" customWidth="1"/>
    <col min="14588" max="14588" width="15" style="484" customWidth="1"/>
    <col min="14589" max="14589" width="14.85546875" style="484" customWidth="1"/>
    <col min="14590" max="14590" width="8.5703125" style="484" customWidth="1"/>
    <col min="14591" max="14841" width="9.140625" style="484"/>
    <col min="14842" max="14842" width="6.28515625" style="484" customWidth="1"/>
    <col min="14843" max="14843" width="72.28515625" style="484" bestFit="1" customWidth="1"/>
    <col min="14844" max="14844" width="15" style="484" customWidth="1"/>
    <col min="14845" max="14845" width="14.85546875" style="484" customWidth="1"/>
    <col min="14846" max="14846" width="8.5703125" style="484" customWidth="1"/>
    <col min="14847" max="15097" width="9.140625" style="484"/>
    <col min="15098" max="15098" width="6.28515625" style="484" customWidth="1"/>
    <col min="15099" max="15099" width="72.28515625" style="484" bestFit="1" customWidth="1"/>
    <col min="15100" max="15100" width="15" style="484" customWidth="1"/>
    <col min="15101" max="15101" width="14.85546875" style="484" customWidth="1"/>
    <col min="15102" max="15102" width="8.5703125" style="484" customWidth="1"/>
    <col min="15103" max="15353" width="9.140625" style="484"/>
    <col min="15354" max="15354" width="6.28515625" style="484" customWidth="1"/>
    <col min="15355" max="15355" width="72.28515625" style="484" bestFit="1" customWidth="1"/>
    <col min="15356" max="15356" width="15" style="484" customWidth="1"/>
    <col min="15357" max="15357" width="14.85546875" style="484" customWidth="1"/>
    <col min="15358" max="15358" width="8.5703125" style="484" customWidth="1"/>
    <col min="15359" max="15609" width="9.140625" style="484"/>
    <col min="15610" max="15610" width="6.28515625" style="484" customWidth="1"/>
    <col min="15611" max="15611" width="72.28515625" style="484" bestFit="1" customWidth="1"/>
    <col min="15612" max="15612" width="15" style="484" customWidth="1"/>
    <col min="15613" max="15613" width="14.85546875" style="484" customWidth="1"/>
    <col min="15614" max="15614" width="8.5703125" style="484" customWidth="1"/>
    <col min="15615" max="15865" width="9.140625" style="484"/>
    <col min="15866" max="15866" width="6.28515625" style="484" customWidth="1"/>
    <col min="15867" max="15867" width="72.28515625" style="484" bestFit="1" customWidth="1"/>
    <col min="15868" max="15868" width="15" style="484" customWidth="1"/>
    <col min="15869" max="15869" width="14.85546875" style="484" customWidth="1"/>
    <col min="15870" max="15870" width="8.5703125" style="484" customWidth="1"/>
    <col min="15871" max="16121" width="9.140625" style="484"/>
    <col min="16122" max="16122" width="6.28515625" style="484" customWidth="1"/>
    <col min="16123" max="16123" width="72.28515625" style="484" bestFit="1" customWidth="1"/>
    <col min="16124" max="16124" width="15" style="484" customWidth="1"/>
    <col min="16125" max="16125" width="14.85546875" style="484" customWidth="1"/>
    <col min="16126" max="16126" width="8.5703125" style="484" customWidth="1"/>
    <col min="16127" max="16384" width="9.140625" style="484"/>
  </cols>
  <sheetData>
    <row r="1" spans="1:7">
      <c r="A1" s="769" t="s">
        <v>3710</v>
      </c>
      <c r="B1" s="769"/>
      <c r="C1" s="695" t="s">
        <v>3711</v>
      </c>
      <c r="D1" s="482" t="s">
        <v>3712</v>
      </c>
    </row>
    <row r="2" spans="1:7">
      <c r="A2" s="485"/>
      <c r="B2" s="485"/>
      <c r="C2" s="696"/>
      <c r="D2" s="486"/>
      <c r="E2" s="484"/>
    </row>
    <row r="3" spans="1:7">
      <c r="A3" s="487" t="s">
        <v>3713</v>
      </c>
      <c r="B3" s="488"/>
      <c r="C3" s="691"/>
      <c r="D3" s="489"/>
      <c r="E3" s="484"/>
    </row>
    <row r="4" spans="1:7">
      <c r="A4" s="490" t="s">
        <v>3714</v>
      </c>
      <c r="B4" s="490" t="s">
        <v>3715</v>
      </c>
      <c r="C4" s="690">
        <f>+'2. Schema SP'!I122</f>
        <v>2874961</v>
      </c>
      <c r="D4" s="682">
        <v>1432776</v>
      </c>
      <c r="E4" s="484"/>
    </row>
    <row r="5" spans="1:7">
      <c r="A5" s="490"/>
      <c r="B5" s="491" t="s">
        <v>3716</v>
      </c>
      <c r="C5" s="697"/>
      <c r="D5" s="683"/>
      <c r="E5" s="484"/>
    </row>
    <row r="6" spans="1:7">
      <c r="A6" s="492" t="s">
        <v>3714</v>
      </c>
      <c r="B6" s="493" t="s">
        <v>3717</v>
      </c>
      <c r="C6" s="684">
        <f>+'10. Alimentazione CE Costi'!E944+'10. Alimentazione CE Costi'!E946</f>
        <v>0</v>
      </c>
      <c r="D6" s="684">
        <v>0</v>
      </c>
      <c r="E6" s="484"/>
    </row>
    <row r="7" spans="1:7">
      <c r="A7" s="492" t="s">
        <v>3714</v>
      </c>
      <c r="B7" s="493" t="s">
        <v>3718</v>
      </c>
      <c r="C7" s="684">
        <f>+'10. Alimentazione CE Costi'!E948+'10. Alimentazione CE Costi'!E949+'10. Alimentazione CE Costi'!E950+'10. Alimentazione CE Costi'!E951+'10. Alimentazione CE Costi'!E952</f>
        <v>161356.37</v>
      </c>
      <c r="D7" s="684">
        <v>204188.96</v>
      </c>
      <c r="E7" s="484"/>
    </row>
    <row r="8" spans="1:7">
      <c r="A8" s="492" t="s">
        <v>3714</v>
      </c>
      <c r="B8" s="493" t="s">
        <v>3719</v>
      </c>
      <c r="C8" s="684">
        <f>+SUM('10. Alimentazione CE Costi'!E933:E940)</f>
        <v>3904.91</v>
      </c>
      <c r="D8" s="684">
        <v>6079.98</v>
      </c>
      <c r="E8" s="484"/>
    </row>
    <row r="9" spans="1:7">
      <c r="A9" s="487" t="s">
        <v>3720</v>
      </c>
      <c r="B9" s="494"/>
      <c r="C9" s="685">
        <f>SUM(C6:C8)</f>
        <v>165261.28</v>
      </c>
      <c r="D9" s="685">
        <v>210268.94</v>
      </c>
      <c r="E9" s="484"/>
    </row>
    <row r="10" spans="1:7">
      <c r="A10" s="492" t="s">
        <v>3721</v>
      </c>
      <c r="B10" s="493" t="s">
        <v>3722</v>
      </c>
      <c r="C10" s="684">
        <f>-(+'9. Alimentazione CE Ricavi'!E69+'9. Alimentazione CE Ricavi'!E71+SUM('9. Alimentazione CE Ricavi'!E291:E303))</f>
        <v>-162903.45000000001</v>
      </c>
      <c r="D10" s="684">
        <v>-209090.11</v>
      </c>
      <c r="E10" s="484"/>
    </row>
    <row r="11" spans="1:7">
      <c r="A11" s="492" t="s">
        <v>3721</v>
      </c>
      <c r="B11" s="493" t="s">
        <v>3723</v>
      </c>
      <c r="C11" s="684">
        <f>-SUM('9. Alimentazione CE Ricavi'!E69:E82)</f>
        <v>-714601.74</v>
      </c>
      <c r="D11" s="684">
        <v>-503673.59999999998</v>
      </c>
      <c r="E11" s="484"/>
      <c r="F11" s="495"/>
    </row>
    <row r="12" spans="1:7">
      <c r="A12" s="487" t="s">
        <v>3724</v>
      </c>
      <c r="B12" s="494"/>
      <c r="C12" s="685">
        <f>SUM(C10:C11)</f>
        <v>-877505.19</v>
      </c>
      <c r="D12" s="685">
        <v>-712763.71</v>
      </c>
      <c r="E12" s="484"/>
    </row>
    <row r="13" spans="1:7">
      <c r="A13" s="492" t="s">
        <v>3714</v>
      </c>
      <c r="B13" s="492" t="s">
        <v>3725</v>
      </c>
      <c r="C13" s="684">
        <f>+'10. Alimentazione CE Costi'!E1065+'10. Alimentazione CE Costi'!E1066</f>
        <v>0</v>
      </c>
      <c r="D13" s="684">
        <v>0</v>
      </c>
      <c r="E13" s="484"/>
    </row>
    <row r="14" spans="1:7">
      <c r="A14" s="492" t="s">
        <v>3721</v>
      </c>
      <c r="B14" s="493" t="s">
        <v>3726</v>
      </c>
      <c r="C14" s="686">
        <f>+'8. Alimentazione SP P'!F114-'8. Alimentazione SP P'!G114-'4. Rendiconto finanziario'!C13</f>
        <v>0</v>
      </c>
      <c r="D14" s="686">
        <v>0</v>
      </c>
      <c r="E14" s="484"/>
      <c r="F14" s="495"/>
      <c r="G14" s="496"/>
    </row>
    <row r="15" spans="1:7">
      <c r="A15" s="492" t="s">
        <v>3714</v>
      </c>
      <c r="B15" s="492" t="s">
        <v>3727</v>
      </c>
      <c r="C15" s="687">
        <f>+'10. Alimentazione CE Costi'!E635+'10. Alimentazione CE Costi'!E644+'10. Alimentazione CE Costi'!E661+'10. Alimentazione CE Costi'!E676+'10. Alimentazione CE Costi'!E690+'10. Alimentazione CE Costi'!E704+'10. Alimentazione CE Costi'!E717+'10. Alimentazione CE Costi'!E726+'10. Alimentazione CE Costi'!E743+'10. Alimentazione CE Costi'!E757+'10. Alimentazione CE Costi'!E770+'10. Alimentazione CE Costi'!E779+'10. Alimentazione CE Costi'!E797+'10. Alimentazione CE Costi'!E811+'10. Alimentazione CE Costi'!E826+'10. Alimentazione CE Costi'!E840+'10. Alimentazione CE Costi'!E853+'10. Alimentazione CE Costi'!E862+'10. Alimentazione CE Costi'!E879+'10. Alimentazione CE Costi'!E614+'10. Alimentazione CE Costi'!E623+'10. Alimentazione CE Costi'!E893</f>
        <v>0</v>
      </c>
      <c r="D15" s="687">
        <v>0</v>
      </c>
      <c r="E15" s="484"/>
      <c r="G15" s="496"/>
    </row>
    <row r="16" spans="1:7">
      <c r="A16" s="492" t="s">
        <v>3721</v>
      </c>
      <c r="B16" s="493" t="s">
        <v>3728</v>
      </c>
      <c r="C16" s="686">
        <f>'8. Alimentazione SP P'!F116-'8. Alimentazione SP P'!G116-'4. Rendiconto finanziario'!C15</f>
        <v>0</v>
      </c>
      <c r="D16" s="686">
        <v>0</v>
      </c>
      <c r="E16" s="484"/>
    </row>
    <row r="17" spans="1:7">
      <c r="A17" s="487" t="s">
        <v>3729</v>
      </c>
      <c r="B17" s="494"/>
      <c r="C17" s="685">
        <f>SUM(C13:C16)</f>
        <v>0</v>
      </c>
      <c r="D17" s="685">
        <v>0</v>
      </c>
      <c r="E17" s="484"/>
      <c r="G17" s="497"/>
    </row>
    <row r="18" spans="1:7">
      <c r="A18" s="492" t="s">
        <v>3730</v>
      </c>
      <c r="B18" s="493" t="s">
        <v>3731</v>
      </c>
      <c r="C18" s="684">
        <v>0</v>
      </c>
      <c r="D18" s="684">
        <v>0</v>
      </c>
    </row>
    <row r="19" spans="1:7">
      <c r="A19" s="492" t="s">
        <v>3714</v>
      </c>
      <c r="B19" s="492" t="s">
        <v>3732</v>
      </c>
      <c r="C19" s="684">
        <f>+SUM('10. Alimentazione CE Costi'!E956:E1014)</f>
        <v>0</v>
      </c>
      <c r="D19" s="684">
        <v>31638.35</v>
      </c>
    </row>
    <row r="20" spans="1:7">
      <c r="A20" s="498" t="s">
        <v>3721</v>
      </c>
      <c r="B20" s="498" t="s">
        <v>3733</v>
      </c>
      <c r="C20" s="684">
        <f>-('7. SP Attivo Alim'!F45+'7. SP Attivo Alim'!F47+'7. SP Attivo Alim'!F49+'7. SP Attivo Alim'!F51+'7. SP Attivo Alim'!F100+'7. SP Attivo Alim'!F101+'7. SP Attivo Alim'!F103+'7. SP Attivo Alim'!F104+'7. SP Attivo Alim'!F106+'7. SP Attivo Alim'!F108+'7. SP Attivo Alim'!F110+'7. SP Attivo Alim'!F112+'7. SP Attivo Alim'!F114+'7. SP Attivo Alim'!F116+'7. SP Attivo Alim'!F121+'7. SP Attivo Alim'!F124+'7. SP Attivo Alim'!F127+'7. SP Attivo Alim'!F132+'7. SP Attivo Alim'!F189+'7. SP Attivo Alim'!F192+'7. SP Attivo Alim'!F195+'7. SP Attivo Alim'!F198+'7. SP Attivo Alim'!F201+'7. SP Attivo Alim'!F204+'7. SP Attivo Alim'!F209+'7. SP Attivo Alim'!F212+'7. SP Attivo Alim'!F215+'7. SP Attivo Alim'!F219+'7. SP Attivo Alim'!F222+'7. SP Attivo Alim'!F227+'7. SP Attivo Alim'!F230+'7. SP Attivo Alim'!F235+'7. SP Attivo Alim'!F240+'7. SP Attivo Alim'!F243+'7. SP Attivo Alim'!F246+'7. SP Attivo Alim'!F249+'7. SP Attivo Alim'!F252+'7. SP Attivo Alim'!F255+'7. SP Attivo Alim'!F260+'7. SP Attivo Alim'!F263+'7. SP Attivo Alim'!F269+'7. SP Attivo Alim'!F272+'7. SP Attivo Alim'!F276+'7. SP Attivo Alim'!F279+'7. SP Attivo Alim'!F282+'7. SP Attivo Alim'!F287+'7. SP Attivo Alim'!F290+'7. SP Attivo Alim'!F299+'7. SP Attivo Alim'!F320+'7. SP Attivo Alim'!F326+'7. SP Attivo Alim'!F329+'7. SP Attivo Alim'!F334+'7. SP Attivo Alim'!F343+'7. SP Attivo Alim'!F351+'7. SP Attivo Alim'!F354+'7. SP Attivo Alim'!F360+'7. SP Attivo Alim'!F363+'7. SP Attivo Alim'!F372+'7. SP Attivo Alim'!F373)+SUM('7. SP Attivo Alim'!G45+'7. SP Attivo Alim'!G47+'7. SP Attivo Alim'!G49+'7. SP Attivo Alim'!G51+'7. SP Attivo Alim'!G100+'7. SP Attivo Alim'!G101+'7. SP Attivo Alim'!G103+'7. SP Attivo Alim'!G104+'7. SP Attivo Alim'!G106+'7. SP Attivo Alim'!G108+'7. SP Attivo Alim'!G110+'7. SP Attivo Alim'!G112+'7. SP Attivo Alim'!G114+'7. SP Attivo Alim'!G116+'7. SP Attivo Alim'!G121+'7. SP Attivo Alim'!G124+'7. SP Attivo Alim'!G127+'7. SP Attivo Alim'!G132+'7. SP Attivo Alim'!G189+'7. SP Attivo Alim'!G192+'7. SP Attivo Alim'!G195+'7. SP Attivo Alim'!G198+'7. SP Attivo Alim'!G201+'7. SP Attivo Alim'!G204+'7. SP Attivo Alim'!G209+'7. SP Attivo Alim'!G212+'7. SP Attivo Alim'!G215+'7. SP Attivo Alim'!G219+'7. SP Attivo Alim'!G222+'7. SP Attivo Alim'!G227+'7. SP Attivo Alim'!G230+'7. SP Attivo Alim'!G235+'7. SP Attivo Alim'!G240+'7. SP Attivo Alim'!G243+'7. SP Attivo Alim'!G246+'7. SP Attivo Alim'!G249+'7. SP Attivo Alim'!G252+'7. SP Attivo Alim'!G255+'7. SP Attivo Alim'!G260+'7. SP Attivo Alim'!G263+'7. SP Attivo Alim'!G269+'7. SP Attivo Alim'!G272+'7. SP Attivo Alim'!G276+'7. SP Attivo Alim'!G279+'7. SP Attivo Alim'!G282+'7. SP Attivo Alim'!G287+'7. SP Attivo Alim'!G290+'7. SP Attivo Alim'!G299+'7. SP Attivo Alim'!G320+'7. SP Attivo Alim'!G326+'7. SP Attivo Alim'!G329+'7. SP Attivo Alim'!G334+'7. SP Attivo Alim'!G343+'7. SP Attivo Alim'!G351+'7. SP Attivo Alim'!G354+'7. SP Attivo Alim'!G360+'7. SP Attivo Alim'!G363+'7. SP Attivo Alim'!G372+'7. SP Attivo Alim'!G373)-'4. Rendiconto finanziario'!C19</f>
        <v>-57434.149999999994</v>
      </c>
      <c r="D20" s="684"/>
      <c r="G20" s="497"/>
    </row>
    <row r="21" spans="1:7">
      <c r="A21" s="487" t="s">
        <v>3734</v>
      </c>
      <c r="B21" s="494"/>
      <c r="C21" s="685">
        <f>SUM(C18:C20)</f>
        <v>-57434.149999999994</v>
      </c>
      <c r="D21" s="685">
        <v>31638.35</v>
      </c>
      <c r="E21" s="495"/>
      <c r="G21" s="497"/>
    </row>
    <row r="22" spans="1:7">
      <c r="A22" s="492" t="s">
        <v>3714</v>
      </c>
      <c r="B22" s="492" t="s">
        <v>3735</v>
      </c>
      <c r="C22" s="684">
        <f>+SUM('10. Alimentazione CE Costi'!E1049:E1101)+'10. Alimentazione CE Costi'!E1192+'10. Alimentazione CE Costi'!E615+'10. Alimentazione CE Costi'!E624+'10. Alimentazione CE Costi'!E636+'10. Alimentazione CE Costi'!E645+'10. Alimentazione CE Costi'!E662+'10. Alimentazione CE Costi'!E677+'10. Alimentazione CE Costi'!E691+'10. Alimentazione CE Costi'!E705+'10. Alimentazione CE Costi'!E718+'10. Alimentazione CE Costi'!E727+'10. Alimentazione CE Costi'!E744+'10. Alimentazione CE Costi'!E758+'10. Alimentazione CE Costi'!E771+'10. Alimentazione CE Costi'!E780+'10. Alimentazione CE Costi'!E798+'10. Alimentazione CE Costi'!E812+'10. Alimentazione CE Costi'!E827+'10. Alimentazione CE Costi'!E841+'10. Alimentazione CE Costi'!E854+'10. Alimentazione CE Costi'!E863+'10. Alimentazione CE Costi'!E880+'10. Alimentazione CE Costi'!E894</f>
        <v>35290825.199999996</v>
      </c>
      <c r="D22" s="687">
        <v>13588028.99</v>
      </c>
      <c r="E22" s="484"/>
      <c r="G22" s="497"/>
    </row>
    <row r="23" spans="1:7">
      <c r="A23" s="492" t="s">
        <v>3721</v>
      </c>
      <c r="B23" s="493" t="s">
        <v>3736</v>
      </c>
      <c r="C23" s="684">
        <f>'2. Schema SP'!K130-'4. Rendiconto finanziario'!C22-'4. Rendiconto finanziario'!C11</f>
        <v>-14855894.459999995</v>
      </c>
      <c r="D23" s="684">
        <v>-12649757.390000001</v>
      </c>
      <c r="E23" s="499"/>
      <c r="G23" s="497"/>
    </row>
    <row r="24" spans="1:7">
      <c r="A24" s="487" t="s">
        <v>3737</v>
      </c>
      <c r="B24" s="494"/>
      <c r="C24" s="685">
        <f>SUM(C22:C23)</f>
        <v>20434930.740000002</v>
      </c>
      <c r="D24" s="685">
        <v>938271.59999999963</v>
      </c>
      <c r="E24" s="484"/>
      <c r="G24" s="497"/>
    </row>
    <row r="25" spans="1:7">
      <c r="A25" s="500" t="s">
        <v>3738</v>
      </c>
      <c r="B25" s="500"/>
      <c r="C25" s="688">
        <f>C4+C9+C12+C17+C21+C24</f>
        <v>22540213.680000003</v>
      </c>
      <c r="D25" s="688">
        <v>1900191.1799999997</v>
      </c>
      <c r="E25" s="484"/>
    </row>
    <row r="26" spans="1:7" ht="15">
      <c r="A26" s="501"/>
      <c r="B26" s="501"/>
      <c r="C26" s="698"/>
      <c r="D26" s="689"/>
      <c r="E26" s="484"/>
    </row>
    <row r="27" spans="1:7" ht="22.5">
      <c r="A27" s="492" t="s">
        <v>3739</v>
      </c>
      <c r="B27" s="502" t="s">
        <v>3740</v>
      </c>
      <c r="C27" s="684">
        <f>'2. Schema SP'!K139</f>
        <v>-3949966</v>
      </c>
      <c r="D27" s="684">
        <v>1902511</v>
      </c>
      <c r="E27" s="484"/>
    </row>
    <row r="28" spans="1:7">
      <c r="A28" s="492" t="s">
        <v>3739</v>
      </c>
      <c r="B28" s="503" t="s">
        <v>3741</v>
      </c>
      <c r="C28" s="684">
        <f>'2. Schema SP'!K140</f>
        <v>0</v>
      </c>
      <c r="D28" s="684">
        <v>0</v>
      </c>
      <c r="E28" s="484"/>
    </row>
    <row r="29" spans="1:7">
      <c r="A29" s="492" t="s">
        <v>3739</v>
      </c>
      <c r="B29" s="503" t="s">
        <v>3742</v>
      </c>
      <c r="C29" s="684">
        <f>'2. Schema SP'!K141</f>
        <v>-5789474</v>
      </c>
      <c r="D29" s="684">
        <v>1198170</v>
      </c>
      <c r="E29" s="484"/>
    </row>
    <row r="30" spans="1:7">
      <c r="A30" s="492" t="s">
        <v>3739</v>
      </c>
      <c r="B30" s="503" t="s">
        <v>3743</v>
      </c>
      <c r="C30" s="686"/>
      <c r="D30" s="686"/>
    </row>
    <row r="31" spans="1:7">
      <c r="A31" s="492" t="s">
        <v>3739</v>
      </c>
      <c r="B31" s="503" t="s">
        <v>3744</v>
      </c>
      <c r="C31" s="684">
        <f>'2. Schema SP'!K149-'4. Rendiconto finanziario'!C94</f>
        <v>37565892</v>
      </c>
      <c r="D31" s="684">
        <v>-2241451</v>
      </c>
      <c r="E31" s="484"/>
    </row>
    <row r="32" spans="1:7">
      <c r="A32" s="492" t="s">
        <v>3739</v>
      </c>
      <c r="B32" s="503" t="s">
        <v>3745</v>
      </c>
      <c r="C32" s="684">
        <f>'2. Schema SP'!K151</f>
        <v>976230</v>
      </c>
      <c r="D32" s="684">
        <v>656145</v>
      </c>
      <c r="E32" s="484"/>
    </row>
    <row r="33" spans="1:7">
      <c r="A33" s="492" t="s">
        <v>3739</v>
      </c>
      <c r="B33" s="503" t="s">
        <v>3746</v>
      </c>
      <c r="C33" s="684">
        <f>'2. Schema SP'!K153</f>
        <v>72687</v>
      </c>
      <c r="D33" s="684">
        <v>345424</v>
      </c>
      <c r="E33" s="484"/>
    </row>
    <row r="34" spans="1:7">
      <c r="A34" s="492" t="s">
        <v>3739</v>
      </c>
      <c r="B34" s="503" t="s">
        <v>3747</v>
      </c>
      <c r="C34" s="684">
        <f>'2. Schema SP'!K138+'2. Schema SP'!K148+'2. Schema SP'!K152+'2. Schema SP'!K154-'4. Rendiconto finanziario'!C30</f>
        <v>829028</v>
      </c>
      <c r="D34" s="684">
        <v>-152341</v>
      </c>
    </row>
    <row r="35" spans="1:7">
      <c r="A35" s="490" t="s">
        <v>3739</v>
      </c>
      <c r="B35" s="490" t="s">
        <v>3748</v>
      </c>
      <c r="C35" s="682">
        <f>SUM(C27:C34)</f>
        <v>29704397</v>
      </c>
      <c r="D35" s="682">
        <v>1708458</v>
      </c>
      <c r="E35" s="495"/>
      <c r="F35" s="495"/>
      <c r="G35" s="497"/>
    </row>
    <row r="36" spans="1:7">
      <c r="A36" s="490" t="s">
        <v>3739</v>
      </c>
      <c r="B36" s="490" t="s">
        <v>3749</v>
      </c>
      <c r="C36" s="690">
        <f>'2. Schema SP'!K157+'2. Schema SP'!K158</f>
        <v>0</v>
      </c>
      <c r="D36" s="690">
        <v>0</v>
      </c>
      <c r="E36" s="484"/>
      <c r="F36" s="495"/>
    </row>
    <row r="37" spans="1:7">
      <c r="A37" s="492" t="s">
        <v>3739</v>
      </c>
      <c r="B37" s="503" t="s">
        <v>3750</v>
      </c>
      <c r="C37" s="684">
        <v>0</v>
      </c>
      <c r="D37" s="684">
        <v>0</v>
      </c>
      <c r="E37" s="483" t="s">
        <v>3751</v>
      </c>
    </row>
    <row r="38" spans="1:7">
      <c r="A38" s="492" t="s">
        <v>3739</v>
      </c>
      <c r="B38" s="503" t="s">
        <v>3752</v>
      </c>
      <c r="C38" s="684">
        <f>-('2. Schema SP'!K52-'2. Schema SP'!K56)-'2. Schema SP'!K48</f>
        <v>0</v>
      </c>
      <c r="D38" s="684">
        <v>0</v>
      </c>
    </row>
    <row r="39" spans="1:7">
      <c r="A39" s="492" t="s">
        <v>3739</v>
      </c>
      <c r="B39" s="503" t="s">
        <v>3753</v>
      </c>
      <c r="C39" s="684">
        <v>0</v>
      </c>
      <c r="D39" s="684">
        <v>0</v>
      </c>
      <c r="E39" s="483" t="s">
        <v>3751</v>
      </c>
    </row>
    <row r="40" spans="1:7">
      <c r="A40" s="492" t="s">
        <v>3739</v>
      </c>
      <c r="B40" s="503" t="s">
        <v>3754</v>
      </c>
      <c r="C40" s="684">
        <v>0</v>
      </c>
      <c r="D40" s="684">
        <v>0</v>
      </c>
      <c r="E40" s="483" t="s">
        <v>3751</v>
      </c>
    </row>
    <row r="41" spans="1:7">
      <c r="A41" s="492" t="s">
        <v>3739</v>
      </c>
      <c r="B41" s="503" t="s">
        <v>3755</v>
      </c>
      <c r="C41" s="684">
        <v>0</v>
      </c>
      <c r="D41" s="684">
        <v>0</v>
      </c>
      <c r="E41" s="483" t="s">
        <v>3751</v>
      </c>
    </row>
    <row r="42" spans="1:7">
      <c r="A42" s="492" t="s">
        <v>3739</v>
      </c>
      <c r="B42" s="503" t="s">
        <v>3756</v>
      </c>
      <c r="C42" s="684">
        <v>0</v>
      </c>
      <c r="D42" s="684">
        <v>0</v>
      </c>
      <c r="E42" s="483" t="s">
        <v>3751</v>
      </c>
    </row>
    <row r="43" spans="1:7">
      <c r="A43" s="492" t="s">
        <v>3739</v>
      </c>
      <c r="B43" s="503" t="s">
        <v>3757</v>
      </c>
      <c r="C43" s="684">
        <v>0</v>
      </c>
      <c r="D43" s="684">
        <v>0</v>
      </c>
      <c r="E43" s="483" t="s">
        <v>3751</v>
      </c>
    </row>
    <row r="44" spans="1:7">
      <c r="A44" s="492"/>
      <c r="B44" s="504"/>
      <c r="C44" s="684"/>
      <c r="D44" s="684"/>
      <c r="E44" s="484"/>
    </row>
    <row r="45" spans="1:7">
      <c r="A45" s="492" t="s">
        <v>3739</v>
      </c>
      <c r="B45" s="503" t="s">
        <v>3758</v>
      </c>
      <c r="C45" s="684">
        <f>-'2. Schema SP'!K59</f>
        <v>-1906314</v>
      </c>
      <c r="D45" s="684">
        <v>-327638</v>
      </c>
      <c r="E45" s="484"/>
    </row>
    <row r="46" spans="1:7">
      <c r="A46" s="492" t="s">
        <v>3739</v>
      </c>
      <c r="B46" s="503" t="s">
        <v>3759</v>
      </c>
      <c r="C46" s="684">
        <f>-'2. Schema SP'!K71</f>
        <v>-918</v>
      </c>
      <c r="D46" s="684">
        <v>-5476</v>
      </c>
      <c r="E46" s="484"/>
    </row>
    <row r="47" spans="1:7">
      <c r="A47" s="492" t="s">
        <v>3739</v>
      </c>
      <c r="B47" s="503" t="s">
        <v>3760</v>
      </c>
      <c r="C47" s="684">
        <f>-'2. Schema SP'!K72</f>
        <v>-95700375</v>
      </c>
      <c r="D47" s="684">
        <v>20250788.649999999</v>
      </c>
      <c r="E47" s="484"/>
    </row>
    <row r="48" spans="1:7">
      <c r="A48" s="492" t="s">
        <v>3739</v>
      </c>
      <c r="B48" s="503" t="s">
        <v>3761</v>
      </c>
      <c r="C48" s="686"/>
      <c r="D48" s="686"/>
    </row>
    <row r="49" spans="1:7">
      <c r="A49" s="492" t="s">
        <v>3739</v>
      </c>
      <c r="B49" s="503" t="s">
        <v>3762</v>
      </c>
      <c r="C49" s="684">
        <f>-'2. Schema SP'!K76</f>
        <v>-14797</v>
      </c>
      <c r="D49" s="684">
        <v>-17889</v>
      </c>
      <c r="E49" s="484"/>
    </row>
    <row r="50" spans="1:7">
      <c r="A50" s="492" t="s">
        <v>3739</v>
      </c>
      <c r="B50" s="503" t="s">
        <v>3763</v>
      </c>
      <c r="C50" s="684">
        <f>-('2. Schema SP'!K77+'2. Schema SP'!K75+'2. Schema SP'!K57+'2. Schema SP'!K78)-'4. Rendiconto finanziario'!C48+'4. Rendiconto finanziario'!E51</f>
        <v>619256.15</v>
      </c>
      <c r="D50" s="684">
        <v>354746</v>
      </c>
      <c r="E50" s="484"/>
    </row>
    <row r="51" spans="1:7">
      <c r="A51" s="490" t="s">
        <v>3739</v>
      </c>
      <c r="B51" s="490" t="s">
        <v>3764</v>
      </c>
      <c r="C51" s="690">
        <f>SUM(C37:C50)</f>
        <v>-97003147.849999994</v>
      </c>
      <c r="D51" s="690">
        <v>20254531.649999999</v>
      </c>
      <c r="E51" s="495">
        <f>SUM('7. SP Attivo Alim'!F121+'7. SP Attivo Alim'!F124+'7. SP Attivo Alim'!F127+'7. SP Attivo Alim'!F132+'7. SP Attivo Alim'!F189+'7. SP Attivo Alim'!F192+'7. SP Attivo Alim'!F195+'7. SP Attivo Alim'!F198+'7. SP Attivo Alim'!F201+'7. SP Attivo Alim'!F204+'7. SP Attivo Alim'!F209+'7. SP Attivo Alim'!F212+'7. SP Attivo Alim'!F215+'7. SP Attivo Alim'!F219+'7. SP Attivo Alim'!F222+'7. SP Attivo Alim'!F227+'7. SP Attivo Alim'!F230+'7. SP Attivo Alim'!F235+'7. SP Attivo Alim'!F240+'7. SP Attivo Alim'!F243+'7. SP Attivo Alim'!F246+'7. SP Attivo Alim'!F249+'7. SP Attivo Alim'!F252+'7. SP Attivo Alim'!F255+'7. SP Attivo Alim'!F260+'7. SP Attivo Alim'!F263+'7. SP Attivo Alim'!F269+'7. SP Attivo Alim'!F272+'7. SP Attivo Alim'!F276+'7. SP Attivo Alim'!F279+'7. SP Attivo Alim'!F282+'7. SP Attivo Alim'!F287+'7. SP Attivo Alim'!F290+'7. SP Attivo Alim'!F299+'7. SP Attivo Alim'!F320+'7. SP Attivo Alim'!F326+'7. SP Attivo Alim'!F329+'7. SP Attivo Alim'!F334+'7. SP Attivo Alim'!F343+'7. SP Attivo Alim'!F351+'7. SP Attivo Alim'!F354+'7. SP Attivo Alim'!F360+'7. SP Attivo Alim'!F363+'7. SP Attivo Alim'!F372+'7. SP Attivo Alim'!F373)-SUM('7. SP Attivo Alim'!G121+'7. SP Attivo Alim'!G124+'7. SP Attivo Alim'!G127+'7. SP Attivo Alim'!G132+'7. SP Attivo Alim'!G189+'7. SP Attivo Alim'!G192+'7. SP Attivo Alim'!G195+'7. SP Attivo Alim'!G198+'7. SP Attivo Alim'!G201+'7. SP Attivo Alim'!G204+'7. SP Attivo Alim'!G209+'7. SP Attivo Alim'!G212+'7. SP Attivo Alim'!G215+'7. SP Attivo Alim'!G219+'7. SP Attivo Alim'!G222+'7. SP Attivo Alim'!G227+'7. SP Attivo Alim'!G230+'7. SP Attivo Alim'!G235+'7. SP Attivo Alim'!G240+'7. SP Attivo Alim'!G243+'7. SP Attivo Alim'!G246+'7. SP Attivo Alim'!G249+'7. SP Attivo Alim'!G252+'7. SP Attivo Alim'!G255+'7. SP Attivo Alim'!G260+'7. SP Attivo Alim'!G263+'7. SP Attivo Alim'!G269+'7. SP Attivo Alim'!G272+'7. SP Attivo Alim'!G276+'7. SP Attivo Alim'!G279+'7. SP Attivo Alim'!G282+'7. SP Attivo Alim'!G287+'7. SP Attivo Alim'!G290+'7. SP Attivo Alim'!G299+'7. SP Attivo Alim'!G320+'7. SP Attivo Alim'!G326+'7. SP Attivo Alim'!G329+'7. SP Attivo Alim'!G334+'7. SP Attivo Alim'!G343+'7. SP Attivo Alim'!G351+'7. SP Attivo Alim'!G354+'7. SP Attivo Alim'!G360+'7. SP Attivo Alim'!G363+'7. SP Attivo Alim'!G372+'7. SP Attivo Alim'!G373)</f>
        <v>57434.149999999994</v>
      </c>
      <c r="F51" s="505" t="s">
        <v>3765</v>
      </c>
      <c r="G51" s="497"/>
    </row>
    <row r="52" spans="1:7">
      <c r="A52" s="498" t="s">
        <v>3739</v>
      </c>
      <c r="B52" s="503" t="s">
        <v>3766</v>
      </c>
      <c r="C52" s="687">
        <f>-('2. Schema SP'!K41+'2. Schema SP'!K42)</f>
        <v>-12369420</v>
      </c>
      <c r="D52" s="687">
        <v>11419959</v>
      </c>
      <c r="E52" s="484"/>
    </row>
    <row r="53" spans="1:7">
      <c r="A53" s="498" t="s">
        <v>3739</v>
      </c>
      <c r="B53" s="503" t="s">
        <v>3767</v>
      </c>
      <c r="C53" s="687">
        <f>-('2. Schema SP'!K43+'2. Schema SP'!K44)</f>
        <v>0</v>
      </c>
      <c r="D53" s="687">
        <v>0</v>
      </c>
      <c r="E53" s="484"/>
    </row>
    <row r="54" spans="1:7">
      <c r="A54" s="490" t="s">
        <v>3739</v>
      </c>
      <c r="B54" s="506" t="s">
        <v>3768</v>
      </c>
      <c r="C54" s="690">
        <f>SUM(C52:C53)</f>
        <v>-12369420</v>
      </c>
      <c r="D54" s="690">
        <v>11419959</v>
      </c>
      <c r="E54" s="484"/>
      <c r="G54" s="497"/>
    </row>
    <row r="55" spans="1:7">
      <c r="A55" s="490" t="s">
        <v>3739</v>
      </c>
      <c r="B55" s="490" t="s">
        <v>3769</v>
      </c>
      <c r="C55" s="690">
        <f>-('2. Schema SP'!K88+'2. Schema SP'!K89)</f>
        <v>-533849</v>
      </c>
      <c r="D55" s="690">
        <v>572</v>
      </c>
      <c r="E55" s="484"/>
      <c r="G55" s="497"/>
    </row>
    <row r="56" spans="1:7">
      <c r="A56" s="500" t="s">
        <v>3770</v>
      </c>
      <c r="B56" s="500"/>
      <c r="C56" s="688">
        <f>C35+C36+C51+C54+C55+C25</f>
        <v>-57661806.169999987</v>
      </c>
      <c r="D56" s="688">
        <v>35283711.829999998</v>
      </c>
      <c r="E56" s="484"/>
    </row>
    <row r="57" spans="1:7" ht="15">
      <c r="A57" s="501"/>
      <c r="B57" s="501"/>
      <c r="C57" s="698"/>
      <c r="D57" s="689"/>
      <c r="E57" s="484"/>
    </row>
    <row r="58" spans="1:7">
      <c r="A58" s="487" t="s">
        <v>3771</v>
      </c>
      <c r="B58" s="488"/>
      <c r="C58" s="691"/>
      <c r="D58" s="691"/>
      <c r="E58" s="483" t="s">
        <v>3772</v>
      </c>
    </row>
    <row r="59" spans="1:7">
      <c r="A59" s="492" t="s">
        <v>3721</v>
      </c>
      <c r="B59" s="493" t="s">
        <v>3773</v>
      </c>
      <c r="C59" s="686"/>
      <c r="D59" s="686"/>
      <c r="E59" s="483" t="s">
        <v>3772</v>
      </c>
    </row>
    <row r="60" spans="1:7">
      <c r="A60" s="492" t="s">
        <v>3721</v>
      </c>
      <c r="B60" s="493" t="s">
        <v>3774</v>
      </c>
      <c r="C60" s="686"/>
      <c r="D60" s="686"/>
      <c r="E60" s="483" t="s">
        <v>3772</v>
      </c>
    </row>
    <row r="61" spans="1:7">
      <c r="A61" s="492" t="s">
        <v>3721</v>
      </c>
      <c r="B61" s="493" t="s">
        <v>3775</v>
      </c>
      <c r="C61" s="686"/>
      <c r="D61" s="686"/>
      <c r="E61" s="483" t="s">
        <v>3772</v>
      </c>
    </row>
    <row r="62" spans="1:7">
      <c r="A62" s="492" t="s">
        <v>3721</v>
      </c>
      <c r="B62" s="493" t="s">
        <v>3776</v>
      </c>
      <c r="C62" s="686"/>
      <c r="D62" s="686"/>
      <c r="E62" s="483" t="s">
        <v>3772</v>
      </c>
    </row>
    <row r="63" spans="1:7">
      <c r="A63" s="492" t="s">
        <v>3721</v>
      </c>
      <c r="B63" s="493" t="s">
        <v>3777</v>
      </c>
      <c r="C63" s="686">
        <v>-700</v>
      </c>
      <c r="D63" s="686">
        <v>-1569.62</v>
      </c>
      <c r="E63" s="484"/>
    </row>
    <row r="64" spans="1:7">
      <c r="A64" s="490" t="s">
        <v>3721</v>
      </c>
      <c r="B64" s="506" t="s">
        <v>3778</v>
      </c>
      <c r="C64" s="690">
        <f>SUM(C59:C63)</f>
        <v>-700</v>
      </c>
      <c r="D64" s="690">
        <v>-1569.62</v>
      </c>
      <c r="E64" s="483" t="s">
        <v>3772</v>
      </c>
    </row>
    <row r="65" spans="1:5">
      <c r="A65" s="492" t="s">
        <v>3714</v>
      </c>
      <c r="B65" s="493" t="s">
        <v>3779</v>
      </c>
      <c r="C65" s="686"/>
      <c r="D65" s="686"/>
      <c r="E65" s="483" t="s">
        <v>3772</v>
      </c>
    </row>
    <row r="66" spans="1:5">
      <c r="A66" s="492" t="s">
        <v>3714</v>
      </c>
      <c r="B66" s="493" t="s">
        <v>3780</v>
      </c>
      <c r="C66" s="686"/>
      <c r="D66" s="686"/>
      <c r="E66" s="483" t="s">
        <v>3772</v>
      </c>
    </row>
    <row r="67" spans="1:5">
      <c r="A67" s="492" t="s">
        <v>3714</v>
      </c>
      <c r="B67" s="493" t="s">
        <v>3781</v>
      </c>
      <c r="C67" s="686"/>
      <c r="D67" s="686"/>
      <c r="E67" s="483" t="s">
        <v>3772</v>
      </c>
    </row>
    <row r="68" spans="1:5">
      <c r="A68" s="492" t="s">
        <v>3714</v>
      </c>
      <c r="B68" s="493" t="s">
        <v>3782</v>
      </c>
      <c r="C68" s="686"/>
      <c r="D68" s="686"/>
      <c r="E68" s="483" t="s">
        <v>3772</v>
      </c>
    </row>
    <row r="69" spans="1:5">
      <c r="A69" s="492" t="s">
        <v>3714</v>
      </c>
      <c r="B69" s="493" t="s">
        <v>3783</v>
      </c>
      <c r="C69" s="686"/>
      <c r="D69" s="686"/>
      <c r="E69" s="484"/>
    </row>
    <row r="70" spans="1:5">
      <c r="A70" s="490" t="s">
        <v>3714</v>
      </c>
      <c r="B70" s="506" t="s">
        <v>3784</v>
      </c>
      <c r="C70" s="690">
        <f>SUM(C65:C69)</f>
        <v>0</v>
      </c>
      <c r="D70" s="690">
        <v>0</v>
      </c>
      <c r="E70" s="483" t="s">
        <v>3772</v>
      </c>
    </row>
    <row r="71" spans="1:5">
      <c r="A71" s="492" t="s">
        <v>3721</v>
      </c>
      <c r="B71" s="493" t="s">
        <v>3785</v>
      </c>
      <c r="C71" s="686"/>
      <c r="D71" s="686"/>
      <c r="E71" s="483" t="s">
        <v>3772</v>
      </c>
    </row>
    <row r="72" spans="1:5">
      <c r="A72" s="492" t="s">
        <v>3721</v>
      </c>
      <c r="B72" s="493" t="s">
        <v>3786</v>
      </c>
      <c r="C72" s="686"/>
      <c r="D72" s="686"/>
      <c r="E72" s="483" t="s">
        <v>3772</v>
      </c>
    </row>
    <row r="73" spans="1:5">
      <c r="A73" s="492" t="s">
        <v>3721</v>
      </c>
      <c r="B73" s="493" t="s">
        <v>3787</v>
      </c>
      <c r="C73" s="686"/>
      <c r="D73" s="686"/>
      <c r="E73" s="483" t="s">
        <v>3772</v>
      </c>
    </row>
    <row r="74" spans="1:5">
      <c r="A74" s="492" t="s">
        <v>3721</v>
      </c>
      <c r="B74" s="493" t="s">
        <v>3788</v>
      </c>
      <c r="C74" s="686"/>
      <c r="D74" s="686"/>
      <c r="E74" s="483" t="s">
        <v>3772</v>
      </c>
    </row>
    <row r="75" spans="1:5">
      <c r="A75" s="492" t="s">
        <v>3721</v>
      </c>
      <c r="B75" s="493" t="s">
        <v>3789</v>
      </c>
      <c r="C75" s="686">
        <v>-33512</v>
      </c>
      <c r="D75" s="686">
        <v>-28054.39</v>
      </c>
      <c r="E75" s="483" t="s">
        <v>3772</v>
      </c>
    </row>
    <row r="76" spans="1:5">
      <c r="A76" s="492" t="s">
        <v>3721</v>
      </c>
      <c r="B76" s="493" t="s">
        <v>3790</v>
      </c>
      <c r="C76" s="686"/>
      <c r="D76" s="686"/>
      <c r="E76" s="483" t="s">
        <v>3772</v>
      </c>
    </row>
    <row r="77" spans="1:5">
      <c r="A77" s="492" t="s">
        <v>3721</v>
      </c>
      <c r="B77" s="493" t="s">
        <v>3791</v>
      </c>
      <c r="C77" s="686">
        <v>-50761</v>
      </c>
      <c r="D77" s="686">
        <v>-81999.92</v>
      </c>
      <c r="E77" s="483" t="s">
        <v>3772</v>
      </c>
    </row>
    <row r="78" spans="1:5">
      <c r="A78" s="492" t="s">
        <v>3721</v>
      </c>
      <c r="B78" s="493" t="s">
        <v>3792</v>
      </c>
      <c r="C78" s="686"/>
      <c r="D78" s="686"/>
      <c r="E78" s="484"/>
    </row>
    <row r="79" spans="1:5">
      <c r="A79" s="490" t="s">
        <v>3721</v>
      </c>
      <c r="B79" s="506" t="s">
        <v>3793</v>
      </c>
      <c r="C79" s="690">
        <f>SUM(C71:C78)</f>
        <v>-84273</v>
      </c>
      <c r="D79" s="690">
        <v>-110054.31</v>
      </c>
      <c r="E79" s="483" t="s">
        <v>3772</v>
      </c>
    </row>
    <row r="80" spans="1:5">
      <c r="A80" s="492" t="s">
        <v>3714</v>
      </c>
      <c r="B80" s="493" t="s">
        <v>3794</v>
      </c>
      <c r="C80" s="686"/>
      <c r="D80" s="686"/>
      <c r="E80" s="483" t="s">
        <v>3772</v>
      </c>
    </row>
    <row r="81" spans="1:5">
      <c r="A81" s="492" t="s">
        <v>3714</v>
      </c>
      <c r="B81" s="493" t="s">
        <v>3795</v>
      </c>
      <c r="C81" s="686"/>
      <c r="D81" s="686"/>
      <c r="E81" s="483" t="s">
        <v>3772</v>
      </c>
    </row>
    <row r="82" spans="1:5">
      <c r="A82" s="492" t="s">
        <v>3714</v>
      </c>
      <c r="B82" s="493" t="s">
        <v>3796</v>
      </c>
      <c r="C82" s="686"/>
      <c r="D82" s="686"/>
      <c r="E82" s="483" t="s">
        <v>3772</v>
      </c>
    </row>
    <row r="83" spans="1:5">
      <c r="A83" s="492" t="s">
        <v>3714</v>
      </c>
      <c r="B83" s="493" t="s">
        <v>3797</v>
      </c>
      <c r="C83" s="686"/>
      <c r="D83" s="686"/>
      <c r="E83" s="483" t="s">
        <v>3772</v>
      </c>
    </row>
    <row r="84" spans="1:5">
      <c r="A84" s="492" t="s">
        <v>3714</v>
      </c>
      <c r="B84" s="493" t="s">
        <v>3798</v>
      </c>
      <c r="C84" s="686"/>
      <c r="D84" s="686"/>
      <c r="E84" s="483" t="s">
        <v>3772</v>
      </c>
    </row>
    <row r="85" spans="1:5">
      <c r="A85" s="492" t="s">
        <v>3714</v>
      </c>
      <c r="B85" s="493" t="s">
        <v>3799</v>
      </c>
      <c r="C85" s="686"/>
      <c r="D85" s="686"/>
      <c r="E85" s="483" t="s">
        <v>3772</v>
      </c>
    </row>
    <row r="86" spans="1:5">
      <c r="A86" s="492" t="s">
        <v>3714</v>
      </c>
      <c r="B86" s="493" t="s">
        <v>3800</v>
      </c>
      <c r="C86" s="686"/>
      <c r="D86" s="686"/>
      <c r="E86" s="484"/>
    </row>
    <row r="87" spans="1:5">
      <c r="A87" s="490" t="s">
        <v>3714</v>
      </c>
      <c r="B87" s="506" t="s">
        <v>3801</v>
      </c>
      <c r="C87" s="690">
        <f>SUM(C80:C86)</f>
        <v>0</v>
      </c>
      <c r="D87" s="690">
        <v>0</v>
      </c>
      <c r="E87" s="483" t="s">
        <v>3772</v>
      </c>
    </row>
    <row r="88" spans="1:5">
      <c r="A88" s="492" t="s">
        <v>3721</v>
      </c>
      <c r="B88" s="493" t="s">
        <v>3802</v>
      </c>
      <c r="C88" s="686"/>
      <c r="D88" s="686"/>
      <c r="E88" s="483" t="s">
        <v>3772</v>
      </c>
    </row>
    <row r="89" spans="1:5">
      <c r="A89" s="492" t="s">
        <v>3721</v>
      </c>
      <c r="B89" s="493" t="s">
        <v>3803</v>
      </c>
      <c r="C89" s="686"/>
      <c r="D89" s="686"/>
      <c r="E89" s="484"/>
    </row>
    <row r="90" spans="1:5">
      <c r="A90" s="490" t="s">
        <v>3721</v>
      </c>
      <c r="B90" s="506" t="s">
        <v>3804</v>
      </c>
      <c r="C90" s="690">
        <f>SUM(C88:C89)</f>
        <v>0</v>
      </c>
      <c r="D90" s="690">
        <v>0</v>
      </c>
      <c r="E90" s="483" t="s">
        <v>3772</v>
      </c>
    </row>
    <row r="91" spans="1:5">
      <c r="A91" s="492" t="s">
        <v>3714</v>
      </c>
      <c r="B91" s="493" t="s">
        <v>3805</v>
      </c>
      <c r="C91" s="686"/>
      <c r="D91" s="686"/>
      <c r="E91" s="483" t="s">
        <v>3772</v>
      </c>
    </row>
    <row r="92" spans="1:5">
      <c r="A92" s="492" t="s">
        <v>3714</v>
      </c>
      <c r="B92" s="493" t="s">
        <v>3806</v>
      </c>
      <c r="C92" s="686"/>
      <c r="D92" s="686"/>
      <c r="E92" s="484"/>
    </row>
    <row r="93" spans="1:5">
      <c r="A93" s="490" t="s">
        <v>3714</v>
      </c>
      <c r="B93" s="506" t="s">
        <v>3807</v>
      </c>
      <c r="C93" s="690">
        <f>SUM(C91:C92)</f>
        <v>0</v>
      </c>
      <c r="D93" s="690">
        <v>0</v>
      </c>
      <c r="E93" s="483" t="s">
        <v>3772</v>
      </c>
    </row>
    <row r="94" spans="1:5">
      <c r="A94" s="490" t="s">
        <v>3730</v>
      </c>
      <c r="B94" s="506" t="s">
        <v>3808</v>
      </c>
      <c r="C94" s="692"/>
      <c r="D94" s="692"/>
      <c r="E94" s="495" t="s">
        <v>3809</v>
      </c>
    </row>
    <row r="95" spans="1:5">
      <c r="A95" s="500" t="s">
        <v>3810</v>
      </c>
      <c r="B95" s="500"/>
      <c r="C95" s="688">
        <f>C64+C70+C79+C87+C90+C93+C94</f>
        <v>-84973</v>
      </c>
      <c r="D95" s="688">
        <v>-111623.93</v>
      </c>
      <c r="E95" s="495"/>
    </row>
    <row r="96" spans="1:5" ht="15">
      <c r="A96" s="501"/>
      <c r="B96" s="501"/>
      <c r="C96" s="698"/>
      <c r="D96" s="689"/>
      <c r="E96" s="484"/>
    </row>
    <row r="97" spans="1:6">
      <c r="A97" s="487" t="s">
        <v>3811</v>
      </c>
      <c r="B97" s="488"/>
      <c r="C97" s="691"/>
      <c r="D97" s="693"/>
      <c r="E97" s="484"/>
    </row>
    <row r="98" spans="1:6">
      <c r="A98" s="492" t="s">
        <v>3739</v>
      </c>
      <c r="B98" s="492" t="s">
        <v>3812</v>
      </c>
      <c r="C98" s="684">
        <f>-('2. Schema SP'!K51+'2. Schema SP'!K56)</f>
        <v>0</v>
      </c>
      <c r="D98" s="684">
        <v>0</v>
      </c>
      <c r="E98" s="484"/>
    </row>
    <row r="99" spans="1:6">
      <c r="A99" s="492" t="s">
        <v>3739</v>
      </c>
      <c r="B99" s="492" t="s">
        <v>3813</v>
      </c>
      <c r="C99" s="684">
        <f>-'2. Schema SP'!K67</f>
        <v>0</v>
      </c>
      <c r="D99" s="684">
        <v>0</v>
      </c>
      <c r="E99" s="484"/>
    </row>
    <row r="100" spans="1:6">
      <c r="A100" s="492" t="s">
        <v>3739</v>
      </c>
      <c r="B100" s="492" t="s">
        <v>3814</v>
      </c>
      <c r="C100" s="684">
        <f>-'2. Schema SP'!K68</f>
        <v>0</v>
      </c>
      <c r="D100" s="684">
        <v>0</v>
      </c>
      <c r="E100" s="484"/>
    </row>
    <row r="101" spans="1:6">
      <c r="A101" s="492" t="s">
        <v>3739</v>
      </c>
      <c r="B101" s="492" t="s">
        <v>3815</v>
      </c>
      <c r="C101" s="684">
        <f>-'2. Schema SP'!K69</f>
        <v>0</v>
      </c>
      <c r="D101" s="684">
        <v>0</v>
      </c>
      <c r="E101" s="484"/>
    </row>
    <row r="102" spans="1:6">
      <c r="A102" s="492" t="s">
        <v>3739</v>
      </c>
      <c r="B102" s="492" t="s">
        <v>3816</v>
      </c>
      <c r="C102" s="684">
        <f>-'2. Schema SP'!K70</f>
        <v>0</v>
      </c>
      <c r="D102" s="684">
        <v>0</v>
      </c>
      <c r="E102" s="484"/>
      <c r="F102" s="495"/>
    </row>
    <row r="103" spans="1:6">
      <c r="A103" s="490" t="s">
        <v>3714</v>
      </c>
      <c r="B103" s="490" t="s">
        <v>3817</v>
      </c>
      <c r="C103" s="690">
        <f>SUM(C98:C102)</f>
        <v>0</v>
      </c>
      <c r="D103" s="690">
        <v>0</v>
      </c>
      <c r="E103" s="495"/>
    </row>
    <row r="104" spans="1:6">
      <c r="A104" s="492" t="s">
        <v>3714</v>
      </c>
      <c r="B104" s="492" t="s">
        <v>3818</v>
      </c>
      <c r="C104" s="684">
        <f>SUM('8. Alimentazione SP P'!F8:F25)+'8. Alimentazione SP P'!F39+'8. Alimentazione SP P'!F41-SUM('8. Alimentazione SP P'!G8:G25)-'8. Alimentazione SP P'!G39-'8. Alimentazione SP P'!G41-'4. Rendiconto finanziario'!C10</f>
        <v>80000.000000000058</v>
      </c>
      <c r="D104" s="684">
        <v>0</v>
      </c>
      <c r="E104" s="499"/>
    </row>
    <row r="105" spans="1:6">
      <c r="A105" s="492" t="s">
        <v>3739</v>
      </c>
      <c r="B105" s="492" t="s">
        <v>3819</v>
      </c>
      <c r="C105" s="684">
        <f>'2. Schema SP'!K123-'2. Schema SP'!K108-'4. Rendiconto finanziario'!C104-'4. Rendiconto finanziario'!C4-'4. Rendiconto finanziario'!C10-1</f>
        <v>3.4500000000116415</v>
      </c>
      <c r="D105" s="684">
        <v>-0.89000000001396984</v>
      </c>
      <c r="E105" s="499"/>
    </row>
    <row r="106" spans="1:6">
      <c r="A106" s="490" t="s">
        <v>3739</v>
      </c>
      <c r="B106" s="506" t="s">
        <v>3820</v>
      </c>
      <c r="C106" s="690">
        <f>SUM(C104:C105)</f>
        <v>80003.45000000007</v>
      </c>
      <c r="D106" s="690">
        <v>-0.89000000001396984</v>
      </c>
      <c r="E106" s="484"/>
      <c r="F106" s="495"/>
    </row>
    <row r="107" spans="1:6">
      <c r="A107" s="490" t="s">
        <v>3739</v>
      </c>
      <c r="B107" s="507" t="s">
        <v>3821</v>
      </c>
      <c r="C107" s="690">
        <f>'2. Schema SP'!K150</f>
        <v>0</v>
      </c>
      <c r="D107" s="690">
        <v>0</v>
      </c>
      <c r="E107" s="484"/>
    </row>
    <row r="108" spans="1:6">
      <c r="A108" s="492" t="s">
        <v>3714</v>
      </c>
      <c r="B108" s="492" t="s">
        <v>3822</v>
      </c>
      <c r="C108" s="686"/>
      <c r="D108" s="686"/>
      <c r="E108" s="483" t="s">
        <v>3772</v>
      </c>
    </row>
    <row r="109" spans="1:6">
      <c r="A109" s="492" t="s">
        <v>3721</v>
      </c>
      <c r="B109" s="492" t="s">
        <v>3823</v>
      </c>
      <c r="C109" s="684">
        <f>-C108+'2. Schema SP'!K137</f>
        <v>0</v>
      </c>
      <c r="D109" s="684">
        <v>0</v>
      </c>
      <c r="E109" s="484"/>
    </row>
    <row r="110" spans="1:6">
      <c r="A110" s="500" t="s">
        <v>3824</v>
      </c>
      <c r="B110" s="500"/>
      <c r="C110" s="688">
        <f>+C103+C106+C107+C108+C109</f>
        <v>80003.45000000007</v>
      </c>
      <c r="D110" s="688">
        <v>-0.89000000001396984</v>
      </c>
      <c r="E110" s="484"/>
    </row>
    <row r="111" spans="1:6">
      <c r="A111" s="492"/>
      <c r="B111" s="492"/>
      <c r="C111" s="699"/>
      <c r="D111" s="687"/>
      <c r="E111" s="484"/>
    </row>
    <row r="112" spans="1:6">
      <c r="A112" s="487" t="s">
        <v>3825</v>
      </c>
      <c r="B112" s="488"/>
      <c r="C112" s="693">
        <f>+C56+C95+C110</f>
        <v>-57666775.719999984</v>
      </c>
      <c r="D112" s="693">
        <v>35172087.009999998</v>
      </c>
      <c r="E112" s="499"/>
    </row>
    <row r="113" spans="1:5">
      <c r="A113" s="506" t="s">
        <v>3826</v>
      </c>
      <c r="B113" s="508"/>
      <c r="C113" s="694">
        <f>'2. Schema SP'!I81-'2. Schema SP'!J81</f>
        <v>-57666776</v>
      </c>
      <c r="D113" s="694">
        <v>35172087</v>
      </c>
      <c r="E113" s="499"/>
    </row>
    <row r="114" spans="1:5">
      <c r="A114" s="492"/>
      <c r="B114" s="509"/>
      <c r="C114" s="696"/>
      <c r="D114" s="486"/>
      <c r="E114" s="484"/>
    </row>
    <row r="115" spans="1:5">
      <c r="A115" s="510" t="s">
        <v>3827</v>
      </c>
      <c r="B115" s="511"/>
      <c r="C115" s="700">
        <f>C112-C113</f>
        <v>0.28000001609325409</v>
      </c>
      <c r="D115" s="705">
        <f>+D112-D113</f>
        <v>9.9999979138374329E-3</v>
      </c>
      <c r="E115" s="495"/>
    </row>
    <row r="117" spans="1:5">
      <c r="C117" s="704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2" firstPageNumber="6" fitToHeight="10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0"/>
  <sheetViews>
    <sheetView zoomScaleNormal="100" workbookViewId="0">
      <pane ySplit="1" topLeftCell="A410" activePane="bottomLeft" state="frozen"/>
      <selection sqref="A1:J1"/>
      <selection pane="bottomLeft" activeCell="L351" sqref="L351"/>
    </sheetView>
  </sheetViews>
  <sheetFormatPr defaultRowHeight="12.75"/>
  <cols>
    <col min="1" max="1" width="6.140625" bestFit="1" customWidth="1"/>
    <col min="2" max="2" width="19.7109375" customWidth="1"/>
    <col min="3" max="3" width="62.85546875" customWidth="1"/>
    <col min="4" max="4" width="9.7109375" bestFit="1" customWidth="1"/>
    <col min="5" max="5" width="9.7109375" hidden="1" customWidth="1"/>
    <col min="6" max="7" width="18.85546875" style="208" customWidth="1"/>
    <col min="8" max="8" width="18" bestFit="1" customWidth="1"/>
    <col min="9" max="9" width="15.5703125" bestFit="1" customWidth="1"/>
  </cols>
  <sheetData>
    <row r="1" spans="1:8" ht="26.25" thickBot="1">
      <c r="A1" s="207" t="s">
        <v>120</v>
      </c>
      <c r="B1" s="293" t="s">
        <v>2029</v>
      </c>
      <c r="C1" s="293" t="s">
        <v>121</v>
      </c>
      <c r="D1" s="293" t="s">
        <v>1921</v>
      </c>
      <c r="E1" s="293"/>
      <c r="F1" s="294" t="s">
        <v>2590</v>
      </c>
      <c r="G1" s="294" t="s">
        <v>2591</v>
      </c>
      <c r="H1" s="479" t="s">
        <v>3709</v>
      </c>
    </row>
    <row r="2" spans="1:8">
      <c r="A2" s="316" t="s">
        <v>1827</v>
      </c>
      <c r="B2" s="337" t="s">
        <v>2593</v>
      </c>
      <c r="C2" s="337" t="s">
        <v>2594</v>
      </c>
      <c r="D2" s="338"/>
      <c r="E2" s="338"/>
      <c r="F2" s="344"/>
      <c r="G2" s="344"/>
    </row>
    <row r="3" spans="1:8">
      <c r="A3" s="316" t="s">
        <v>1941</v>
      </c>
      <c r="B3" s="296" t="s">
        <v>2595</v>
      </c>
      <c r="C3" s="296" t="s">
        <v>2596</v>
      </c>
      <c r="D3" s="310"/>
      <c r="E3" s="310"/>
      <c r="F3" s="319"/>
      <c r="G3" s="319"/>
    </row>
    <row r="4" spans="1:8">
      <c r="A4" s="316" t="s">
        <v>1944</v>
      </c>
      <c r="B4" s="296" t="s">
        <v>2597</v>
      </c>
      <c r="C4" s="296" t="s">
        <v>2598</v>
      </c>
      <c r="D4" s="310"/>
      <c r="E4" s="310"/>
      <c r="F4" s="319"/>
      <c r="G4" s="319"/>
    </row>
    <row r="5" spans="1:8">
      <c r="A5" s="316" t="s">
        <v>1946</v>
      </c>
      <c r="B5" s="296" t="s">
        <v>2599</v>
      </c>
      <c r="C5" s="296" t="s">
        <v>2600</v>
      </c>
      <c r="D5" s="310"/>
      <c r="E5" s="310"/>
      <c r="F5" s="319"/>
      <c r="G5" s="319"/>
    </row>
    <row r="6" spans="1:8">
      <c r="A6" s="316" t="s">
        <v>1948</v>
      </c>
      <c r="B6" s="296" t="s">
        <v>2601</v>
      </c>
      <c r="C6" s="296" t="s">
        <v>2602</v>
      </c>
      <c r="D6" s="310"/>
      <c r="E6" s="310"/>
      <c r="F6" s="319"/>
      <c r="G6" s="319"/>
    </row>
    <row r="7" spans="1:8">
      <c r="A7" s="299" t="s">
        <v>1950</v>
      </c>
      <c r="B7" s="672">
        <v>10100000000000</v>
      </c>
      <c r="C7" s="300" t="s">
        <v>2603</v>
      </c>
      <c r="D7" s="339"/>
      <c r="E7" s="339" t="str">
        <f>+B6</f>
        <v>AAA020</v>
      </c>
      <c r="F7" s="321"/>
      <c r="G7" s="321"/>
    </row>
    <row r="8" spans="1:8">
      <c r="A8" s="316" t="s">
        <v>1948</v>
      </c>
      <c r="B8" s="673" t="s">
        <v>2604</v>
      </c>
      <c r="C8" s="296" t="s">
        <v>2605</v>
      </c>
      <c r="D8" s="310"/>
      <c r="E8" s="310"/>
      <c r="F8" s="319"/>
      <c r="G8" s="319"/>
    </row>
    <row r="9" spans="1:8">
      <c r="A9" s="299" t="s">
        <v>1950</v>
      </c>
      <c r="B9" s="672">
        <v>210100100000000</v>
      </c>
      <c r="C9" s="300" t="s">
        <v>2606</v>
      </c>
      <c r="D9" s="339"/>
      <c r="E9" s="339" t="str">
        <f>+B8</f>
        <v>AAA030</v>
      </c>
      <c r="F9" s="321"/>
      <c r="G9" s="321"/>
      <c r="H9" t="s">
        <v>3708</v>
      </c>
    </row>
    <row r="10" spans="1:8">
      <c r="A10" s="316" t="s">
        <v>1946</v>
      </c>
      <c r="B10" s="673" t="s">
        <v>2607</v>
      </c>
      <c r="C10" s="296" t="s">
        <v>2608</v>
      </c>
      <c r="D10" s="310"/>
      <c r="E10" s="310"/>
      <c r="F10" s="319"/>
      <c r="G10" s="319"/>
    </row>
    <row r="11" spans="1:8">
      <c r="A11" s="316" t="s">
        <v>1948</v>
      </c>
      <c r="B11" s="673" t="s">
        <v>2609</v>
      </c>
      <c r="C11" s="296" t="s">
        <v>2610</v>
      </c>
      <c r="D11" s="310"/>
      <c r="E11" s="310"/>
      <c r="F11" s="319"/>
      <c r="G11" s="319"/>
    </row>
    <row r="12" spans="1:8">
      <c r="A12" s="299" t="s">
        <v>1950</v>
      </c>
      <c r="B12" s="672">
        <v>10200000000000</v>
      </c>
      <c r="C12" s="300" t="s">
        <v>2611</v>
      </c>
      <c r="D12" s="339"/>
      <c r="E12" s="339" t="str">
        <f>+B11</f>
        <v>AAA050</v>
      </c>
      <c r="F12" s="321"/>
      <c r="G12" s="321"/>
    </row>
    <row r="13" spans="1:8">
      <c r="A13" s="316" t="s">
        <v>1948</v>
      </c>
      <c r="B13" s="673" t="s">
        <v>2612</v>
      </c>
      <c r="C13" s="296" t="s">
        <v>2613</v>
      </c>
      <c r="D13" s="310"/>
      <c r="E13" s="310"/>
      <c r="F13" s="319"/>
      <c r="G13" s="319"/>
    </row>
    <row r="14" spans="1:8">
      <c r="A14" s="299" t="s">
        <v>1950</v>
      </c>
      <c r="B14" s="672">
        <v>210100200000000</v>
      </c>
      <c r="C14" s="300" t="s">
        <v>2614</v>
      </c>
      <c r="D14" s="339"/>
      <c r="E14" s="339" t="str">
        <f>+B13</f>
        <v>AAA060</v>
      </c>
      <c r="F14" s="321"/>
      <c r="G14" s="321"/>
      <c r="H14" t="s">
        <v>3708</v>
      </c>
    </row>
    <row r="15" spans="1:8">
      <c r="A15" s="316" t="s">
        <v>1946</v>
      </c>
      <c r="B15" s="673" t="s">
        <v>2615</v>
      </c>
      <c r="C15" s="296" t="s">
        <v>2616</v>
      </c>
      <c r="D15" s="310"/>
      <c r="E15" s="310"/>
      <c r="F15" s="319"/>
      <c r="G15" s="319"/>
    </row>
    <row r="16" spans="1:8" ht="25.5">
      <c r="A16" s="316" t="s">
        <v>1948</v>
      </c>
      <c r="B16" s="673" t="s">
        <v>2617</v>
      </c>
      <c r="C16" s="296" t="s">
        <v>2618</v>
      </c>
      <c r="D16" s="310"/>
      <c r="E16" s="310"/>
      <c r="F16" s="319"/>
      <c r="G16" s="319"/>
    </row>
    <row r="17" spans="1:8" ht="24">
      <c r="A17" s="299" t="s">
        <v>1950</v>
      </c>
      <c r="B17" s="672">
        <v>10300100000000</v>
      </c>
      <c r="C17" s="300" t="s">
        <v>2619</v>
      </c>
      <c r="D17" s="339"/>
      <c r="E17" s="339" t="str">
        <f>+B16</f>
        <v>AAA080</v>
      </c>
      <c r="F17" s="321"/>
      <c r="G17" s="321"/>
    </row>
    <row r="18" spans="1:8" ht="25.5">
      <c r="A18" s="316" t="s">
        <v>1948</v>
      </c>
      <c r="B18" s="673" t="s">
        <v>2620</v>
      </c>
      <c r="C18" s="296" t="s">
        <v>2621</v>
      </c>
      <c r="D18" s="310"/>
      <c r="E18" s="310"/>
      <c r="F18" s="319"/>
      <c r="G18" s="319"/>
    </row>
    <row r="19" spans="1:8" ht="24">
      <c r="A19" s="299" t="s">
        <v>1950</v>
      </c>
      <c r="B19" s="672">
        <v>210100300000000</v>
      </c>
      <c r="C19" s="300" t="s">
        <v>2622</v>
      </c>
      <c r="D19" s="339"/>
      <c r="E19" s="339" t="str">
        <f>+B18</f>
        <v>AAA090</v>
      </c>
      <c r="F19" s="321"/>
      <c r="G19" s="321"/>
      <c r="H19" t="s">
        <v>3708</v>
      </c>
    </row>
    <row r="20" spans="1:8" ht="25.5">
      <c r="A20" s="316" t="s">
        <v>1948</v>
      </c>
      <c r="B20" s="673" t="s">
        <v>2623</v>
      </c>
      <c r="C20" s="296" t="s">
        <v>2624</v>
      </c>
      <c r="D20" s="310"/>
      <c r="E20" s="310"/>
      <c r="F20" s="319"/>
      <c r="G20" s="319"/>
    </row>
    <row r="21" spans="1:8">
      <c r="A21" s="299" t="s">
        <v>1950</v>
      </c>
      <c r="B21" s="672">
        <v>10300200000000</v>
      </c>
      <c r="C21" s="300" t="s">
        <v>2625</v>
      </c>
      <c r="D21" s="339"/>
      <c r="E21" s="339" t="str">
        <f>+B20</f>
        <v>AAA100</v>
      </c>
      <c r="F21" s="321"/>
      <c r="G21" s="321"/>
    </row>
    <row r="22" spans="1:8" ht="25.5">
      <c r="A22" s="316" t="s">
        <v>1948</v>
      </c>
      <c r="B22" s="673" t="s">
        <v>2626</v>
      </c>
      <c r="C22" s="296" t="s">
        <v>2627</v>
      </c>
      <c r="D22" s="310"/>
      <c r="E22" s="310"/>
      <c r="F22" s="319"/>
      <c r="G22" s="319"/>
    </row>
    <row r="23" spans="1:8" ht="24">
      <c r="A23" s="299" t="s">
        <v>1950</v>
      </c>
      <c r="B23" s="672">
        <v>210100400000000</v>
      </c>
      <c r="C23" s="300" t="s">
        <v>2628</v>
      </c>
      <c r="D23" s="339"/>
      <c r="E23" s="339" t="str">
        <f>+B22</f>
        <v>AAA110</v>
      </c>
      <c r="F23" s="321"/>
      <c r="G23" s="321"/>
      <c r="H23" t="s">
        <v>3708</v>
      </c>
    </row>
    <row r="24" spans="1:8">
      <c r="A24" s="316" t="s">
        <v>1946</v>
      </c>
      <c r="B24" s="673" t="s">
        <v>2629</v>
      </c>
      <c r="C24" s="296" t="s">
        <v>2630</v>
      </c>
      <c r="D24" s="310"/>
      <c r="E24" s="310"/>
      <c r="F24" s="319"/>
      <c r="G24" s="319"/>
    </row>
    <row r="25" spans="1:8">
      <c r="A25" s="299"/>
      <c r="B25" s="672">
        <v>10400000000000</v>
      </c>
      <c r="C25" s="300" t="s">
        <v>2631</v>
      </c>
      <c r="D25" s="339"/>
      <c r="E25" s="339" t="str">
        <f>+B24</f>
        <v>AAA120</v>
      </c>
      <c r="F25" s="321"/>
      <c r="G25" s="321"/>
    </row>
    <row r="26" spans="1:8">
      <c r="A26" s="316" t="s">
        <v>1946</v>
      </c>
      <c r="B26" s="673" t="s">
        <v>2632</v>
      </c>
      <c r="C26" s="296" t="s">
        <v>2633</v>
      </c>
      <c r="D26" s="310"/>
      <c r="E26" s="310"/>
      <c r="F26" s="319"/>
      <c r="G26" s="319"/>
    </row>
    <row r="27" spans="1:8">
      <c r="A27" s="316" t="s">
        <v>1948</v>
      </c>
      <c r="B27" s="673" t="s">
        <v>2634</v>
      </c>
      <c r="C27" s="296" t="s">
        <v>2635</v>
      </c>
      <c r="D27" s="310"/>
      <c r="E27" s="310"/>
      <c r="F27" s="319"/>
      <c r="G27" s="319"/>
    </row>
    <row r="28" spans="1:8">
      <c r="A28" s="341" t="s">
        <v>1950</v>
      </c>
      <c r="B28" s="677">
        <v>10500100000000</v>
      </c>
      <c r="C28" s="342" t="s">
        <v>2636</v>
      </c>
      <c r="D28" s="343"/>
      <c r="E28" s="339" t="str">
        <f>+B27</f>
        <v>AAA140</v>
      </c>
      <c r="F28" s="481"/>
      <c r="G28" s="481"/>
    </row>
    <row r="29" spans="1:8">
      <c r="A29" s="316" t="s">
        <v>1948</v>
      </c>
      <c r="B29" s="673" t="s">
        <v>2637</v>
      </c>
      <c r="C29" s="296" t="s">
        <v>2638</v>
      </c>
      <c r="D29" s="310"/>
      <c r="E29" s="310"/>
      <c r="F29" s="319"/>
      <c r="G29" s="319"/>
    </row>
    <row r="30" spans="1:8">
      <c r="A30" s="299" t="s">
        <v>1950</v>
      </c>
      <c r="B30" s="672">
        <v>210100500000000</v>
      </c>
      <c r="C30" s="300" t="s">
        <v>2639</v>
      </c>
      <c r="D30" s="339"/>
      <c r="E30" s="339" t="str">
        <f>+B29</f>
        <v>AAA150</v>
      </c>
      <c r="F30" s="321"/>
      <c r="G30" s="321"/>
      <c r="H30" t="s">
        <v>3708</v>
      </c>
    </row>
    <row r="31" spans="1:8">
      <c r="A31" s="316" t="s">
        <v>1948</v>
      </c>
      <c r="B31" s="673" t="s">
        <v>2640</v>
      </c>
      <c r="C31" s="296" t="s">
        <v>2641</v>
      </c>
      <c r="D31" s="310"/>
      <c r="E31" s="310"/>
      <c r="F31" s="319"/>
      <c r="G31" s="319"/>
    </row>
    <row r="32" spans="1:8">
      <c r="A32" s="299" t="s">
        <v>1950</v>
      </c>
      <c r="B32" s="672">
        <v>10500200000000</v>
      </c>
      <c r="C32" s="300" t="s">
        <v>2642</v>
      </c>
      <c r="D32" s="339"/>
      <c r="E32" s="339" t="str">
        <f>+B31</f>
        <v>AAA160</v>
      </c>
      <c r="F32" s="321"/>
      <c r="G32" s="321"/>
    </row>
    <row r="33" spans="1:8">
      <c r="A33" s="316" t="s">
        <v>1948</v>
      </c>
      <c r="B33" s="673" t="s">
        <v>2643</v>
      </c>
      <c r="C33" s="296" t="s">
        <v>2644</v>
      </c>
      <c r="D33" s="310"/>
      <c r="E33" s="310"/>
      <c r="F33" s="319"/>
      <c r="G33" s="319"/>
    </row>
    <row r="34" spans="1:8">
      <c r="A34" s="299" t="s">
        <v>1950</v>
      </c>
      <c r="B34" s="672">
        <v>210100600000000</v>
      </c>
      <c r="C34" s="300" t="s">
        <v>2645</v>
      </c>
      <c r="D34" s="339"/>
      <c r="E34" s="339" t="str">
        <f>+B33</f>
        <v>AAA170</v>
      </c>
      <c r="F34" s="321"/>
      <c r="G34" s="321"/>
      <c r="H34" t="s">
        <v>3708</v>
      </c>
    </row>
    <row r="35" spans="1:8">
      <c r="A35" s="316" t="s">
        <v>1948</v>
      </c>
      <c r="B35" s="673" t="s">
        <v>2646</v>
      </c>
      <c r="C35" s="296" t="s">
        <v>2647</v>
      </c>
      <c r="D35" s="310"/>
      <c r="E35" s="310"/>
      <c r="F35" s="319"/>
      <c r="G35" s="319"/>
    </row>
    <row r="36" spans="1:8">
      <c r="A36" s="299" t="s">
        <v>1950</v>
      </c>
      <c r="B36" s="672">
        <v>10500300000000</v>
      </c>
      <c r="C36" s="300" t="s">
        <v>2648</v>
      </c>
      <c r="D36" s="339"/>
      <c r="E36" s="339" t="str">
        <f>+B35</f>
        <v>AAA180</v>
      </c>
      <c r="F36" s="321"/>
      <c r="G36" s="321"/>
    </row>
    <row r="37" spans="1:8">
      <c r="A37" s="316" t="s">
        <v>1948</v>
      </c>
      <c r="B37" s="673" t="s">
        <v>2649</v>
      </c>
      <c r="C37" s="296" t="s">
        <v>2650</v>
      </c>
      <c r="D37" s="310"/>
      <c r="E37" s="310"/>
      <c r="F37" s="319"/>
      <c r="G37" s="319"/>
    </row>
    <row r="38" spans="1:8">
      <c r="A38" s="299" t="s">
        <v>1950</v>
      </c>
      <c r="B38" s="672">
        <v>210100700000000</v>
      </c>
      <c r="C38" s="300" t="s">
        <v>2651</v>
      </c>
      <c r="D38" s="339"/>
      <c r="E38" s="339" t="str">
        <f>+B37</f>
        <v>AAA190</v>
      </c>
      <c r="F38" s="321"/>
      <c r="G38" s="321"/>
      <c r="H38" t="s">
        <v>3708</v>
      </c>
    </row>
    <row r="39" spans="1:8">
      <c r="A39" s="316" t="s">
        <v>1948</v>
      </c>
      <c r="B39" s="673" t="s">
        <v>2652</v>
      </c>
      <c r="C39" s="296" t="s">
        <v>2653</v>
      </c>
      <c r="D39" s="310"/>
      <c r="E39" s="310"/>
      <c r="F39" s="319"/>
      <c r="G39" s="319"/>
    </row>
    <row r="40" spans="1:8">
      <c r="A40" s="299" t="s">
        <v>1950</v>
      </c>
      <c r="B40" s="672">
        <v>10500400000000</v>
      </c>
      <c r="C40" s="300" t="s">
        <v>2654</v>
      </c>
      <c r="D40" s="339"/>
      <c r="E40" s="339" t="str">
        <f>+B39</f>
        <v>AAA200</v>
      </c>
      <c r="F40" s="321">
        <v>122766.82</v>
      </c>
      <c r="G40" s="321">
        <v>122066.82</v>
      </c>
    </row>
    <row r="41" spans="1:8">
      <c r="A41" s="316" t="s">
        <v>1948</v>
      </c>
      <c r="B41" s="673" t="s">
        <v>2655</v>
      </c>
      <c r="C41" s="296" t="s">
        <v>2656</v>
      </c>
      <c r="D41" s="310"/>
      <c r="E41" s="310"/>
      <c r="F41" s="319"/>
      <c r="G41" s="319"/>
    </row>
    <row r="42" spans="1:8">
      <c r="A42" s="299" t="s">
        <v>1950</v>
      </c>
      <c r="B42" s="672">
        <v>210100800000000</v>
      </c>
      <c r="C42" s="300" t="s">
        <v>2657</v>
      </c>
      <c r="D42" s="339"/>
      <c r="E42" s="339" t="str">
        <f>+B41</f>
        <v>AAA210</v>
      </c>
      <c r="F42" s="321">
        <v>-116698.64</v>
      </c>
      <c r="G42" s="321">
        <v>-112793.73</v>
      </c>
      <c r="H42" t="s">
        <v>3708</v>
      </c>
    </row>
    <row r="43" spans="1:8">
      <c r="A43" s="316" t="s">
        <v>1946</v>
      </c>
      <c r="B43" s="673" t="s">
        <v>2658</v>
      </c>
      <c r="C43" s="296" t="s">
        <v>2659</v>
      </c>
      <c r="D43" s="310"/>
      <c r="E43" s="310"/>
      <c r="F43" s="319"/>
      <c r="G43" s="319"/>
    </row>
    <row r="44" spans="1:8">
      <c r="A44" s="316" t="s">
        <v>1948</v>
      </c>
      <c r="B44" s="673" t="s">
        <v>2660</v>
      </c>
      <c r="C44" s="296" t="s">
        <v>2661</v>
      </c>
      <c r="D44" s="310"/>
      <c r="E44" s="310"/>
      <c r="F44" s="319"/>
      <c r="G44" s="319"/>
    </row>
    <row r="45" spans="1:8">
      <c r="A45" s="299" t="s">
        <v>1950</v>
      </c>
      <c r="B45" s="672">
        <v>210300100000000</v>
      </c>
      <c r="C45" s="300" t="s">
        <v>2662</v>
      </c>
      <c r="D45" s="339"/>
      <c r="E45" s="339" t="str">
        <f>+B44</f>
        <v>AAA230</v>
      </c>
      <c r="F45" s="321"/>
      <c r="G45" s="321"/>
      <c r="H45" t="s">
        <v>3708</v>
      </c>
    </row>
    <row r="46" spans="1:8">
      <c r="A46" s="316" t="s">
        <v>1948</v>
      </c>
      <c r="B46" s="673" t="s">
        <v>2663</v>
      </c>
      <c r="C46" s="296" t="s">
        <v>2664</v>
      </c>
      <c r="D46" s="310"/>
      <c r="E46" s="310"/>
      <c r="F46" s="319"/>
      <c r="G46" s="319"/>
    </row>
    <row r="47" spans="1:8">
      <c r="A47" s="299" t="s">
        <v>1950</v>
      </c>
      <c r="B47" s="672">
        <v>210300200000000</v>
      </c>
      <c r="C47" s="300" t="s">
        <v>2665</v>
      </c>
      <c r="D47" s="339"/>
      <c r="E47" s="339" t="str">
        <f>+B46</f>
        <v>AAA240</v>
      </c>
      <c r="F47" s="321"/>
      <c r="G47" s="321"/>
      <c r="H47" t="s">
        <v>3708</v>
      </c>
    </row>
    <row r="48" spans="1:8" ht="25.5">
      <c r="A48" s="316" t="s">
        <v>1948</v>
      </c>
      <c r="B48" s="673" t="s">
        <v>2666</v>
      </c>
      <c r="C48" s="296" t="s">
        <v>2667</v>
      </c>
      <c r="D48" s="310"/>
      <c r="E48" s="310"/>
      <c r="F48" s="319"/>
      <c r="G48" s="319"/>
    </row>
    <row r="49" spans="1:8">
      <c r="A49" s="299" t="s">
        <v>1950</v>
      </c>
      <c r="B49" s="672">
        <v>210300300000000</v>
      </c>
      <c r="C49" s="300" t="s">
        <v>2668</v>
      </c>
      <c r="D49" s="339"/>
      <c r="E49" s="339" t="str">
        <f>+B48</f>
        <v>AAA250</v>
      </c>
      <c r="F49" s="321"/>
      <c r="G49" s="321"/>
      <c r="H49" t="s">
        <v>3708</v>
      </c>
    </row>
    <row r="50" spans="1:8">
      <c r="A50" s="316" t="s">
        <v>1948</v>
      </c>
      <c r="B50" s="673" t="s">
        <v>2669</v>
      </c>
      <c r="C50" s="296" t="s">
        <v>2670</v>
      </c>
      <c r="D50" s="310"/>
      <c r="E50" s="310"/>
      <c r="F50" s="319"/>
      <c r="G50" s="319"/>
    </row>
    <row r="51" spans="1:8">
      <c r="A51" s="299" t="s">
        <v>1950</v>
      </c>
      <c r="B51" s="672">
        <v>210300400000000</v>
      </c>
      <c r="C51" s="300" t="s">
        <v>2671</v>
      </c>
      <c r="D51" s="339"/>
      <c r="E51" s="339" t="str">
        <f>+B50</f>
        <v>AAA260</v>
      </c>
      <c r="F51" s="321"/>
      <c r="G51" s="321"/>
      <c r="H51" t="s">
        <v>3708</v>
      </c>
    </row>
    <row r="52" spans="1:8">
      <c r="A52" s="316" t="s">
        <v>1944</v>
      </c>
      <c r="B52" s="673" t="s">
        <v>2672</v>
      </c>
      <c r="C52" s="296" t="s">
        <v>2673</v>
      </c>
      <c r="D52" s="310"/>
      <c r="E52" s="310"/>
      <c r="F52" s="319"/>
      <c r="G52" s="319"/>
    </row>
    <row r="53" spans="1:8">
      <c r="A53" s="316" t="s">
        <v>1946</v>
      </c>
      <c r="B53" s="673" t="s">
        <v>2674</v>
      </c>
      <c r="C53" s="296" t="s">
        <v>2675</v>
      </c>
      <c r="D53" s="310"/>
      <c r="E53" s="310"/>
      <c r="F53" s="319"/>
      <c r="G53" s="319"/>
    </row>
    <row r="54" spans="1:8">
      <c r="A54" s="316" t="s">
        <v>1948</v>
      </c>
      <c r="B54" s="673" t="s">
        <v>2676</v>
      </c>
      <c r="C54" s="296" t="s">
        <v>2677</v>
      </c>
      <c r="D54" s="310"/>
      <c r="E54" s="310"/>
      <c r="F54" s="319"/>
      <c r="G54" s="319"/>
    </row>
    <row r="55" spans="1:8">
      <c r="A55" s="299" t="s">
        <v>1950</v>
      </c>
      <c r="B55" s="672">
        <v>20100100000000</v>
      </c>
      <c r="C55" s="300" t="s">
        <v>2678</v>
      </c>
      <c r="D55" s="339"/>
      <c r="E55" s="339" t="str">
        <f>+B54</f>
        <v>AAA290</v>
      </c>
      <c r="F55" s="321"/>
      <c r="G55" s="321"/>
    </row>
    <row r="56" spans="1:8">
      <c r="A56" s="316" t="s">
        <v>1948</v>
      </c>
      <c r="B56" s="673" t="s">
        <v>2679</v>
      </c>
      <c r="C56" s="296" t="s">
        <v>2680</v>
      </c>
      <c r="D56" s="310"/>
      <c r="E56" s="310"/>
      <c r="F56" s="319"/>
      <c r="G56" s="319"/>
    </row>
    <row r="57" spans="1:8">
      <c r="A57" s="299" t="s">
        <v>1950</v>
      </c>
      <c r="B57" s="672">
        <v>20100200000000</v>
      </c>
      <c r="C57" s="300" t="s">
        <v>2681</v>
      </c>
      <c r="D57" s="339"/>
      <c r="E57" s="339" t="str">
        <f>+B56</f>
        <v>AAA300</v>
      </c>
      <c r="F57" s="321"/>
      <c r="G57" s="321"/>
    </row>
    <row r="58" spans="1:8">
      <c r="A58" s="316" t="s">
        <v>1946</v>
      </c>
      <c r="B58" s="673" t="s">
        <v>2682</v>
      </c>
      <c r="C58" s="296" t="s">
        <v>2683</v>
      </c>
      <c r="D58" s="310"/>
      <c r="E58" s="310"/>
      <c r="F58" s="319"/>
      <c r="G58" s="319"/>
    </row>
    <row r="59" spans="1:8">
      <c r="A59" s="316" t="s">
        <v>1948</v>
      </c>
      <c r="B59" s="673" t="s">
        <v>2684</v>
      </c>
      <c r="C59" s="296" t="s">
        <v>2685</v>
      </c>
      <c r="D59" s="310"/>
      <c r="E59" s="310"/>
      <c r="F59" s="319"/>
      <c r="G59" s="319"/>
    </row>
    <row r="60" spans="1:8">
      <c r="A60" s="316" t="s">
        <v>1950</v>
      </c>
      <c r="B60" s="673" t="s">
        <v>2686</v>
      </c>
      <c r="C60" s="296" t="s">
        <v>2687</v>
      </c>
      <c r="D60" s="310"/>
      <c r="E60" s="310"/>
      <c r="F60" s="319"/>
      <c r="G60" s="319"/>
    </row>
    <row r="61" spans="1:8">
      <c r="A61" s="299" t="s">
        <v>1951</v>
      </c>
      <c r="B61" s="672">
        <v>20200100000000</v>
      </c>
      <c r="C61" s="299" t="s">
        <v>2688</v>
      </c>
      <c r="D61" s="339"/>
      <c r="E61" s="339" t="str">
        <f>+B60</f>
        <v>AAA330</v>
      </c>
      <c r="F61" s="321"/>
      <c r="G61" s="321"/>
    </row>
    <row r="62" spans="1:8">
      <c r="A62" s="316" t="s">
        <v>1950</v>
      </c>
      <c r="B62" s="673" t="s">
        <v>2689</v>
      </c>
      <c r="C62" s="296" t="s">
        <v>2690</v>
      </c>
      <c r="D62" s="310"/>
      <c r="E62" s="310"/>
      <c r="F62" s="319"/>
      <c r="G62" s="319"/>
    </row>
    <row r="63" spans="1:8">
      <c r="A63" s="299" t="s">
        <v>1951</v>
      </c>
      <c r="B63" s="672">
        <v>210200100000000</v>
      </c>
      <c r="C63" s="300" t="s">
        <v>2691</v>
      </c>
      <c r="D63" s="339"/>
      <c r="E63" s="339" t="str">
        <f>+B62</f>
        <v>AAA340</v>
      </c>
      <c r="F63" s="321"/>
      <c r="G63" s="321"/>
      <c r="H63" t="s">
        <v>3708</v>
      </c>
    </row>
    <row r="64" spans="1:8">
      <c r="A64" s="316" t="s">
        <v>1948</v>
      </c>
      <c r="B64" s="673" t="s">
        <v>2692</v>
      </c>
      <c r="C64" s="296" t="s">
        <v>2693</v>
      </c>
      <c r="D64" s="310"/>
      <c r="E64" s="310"/>
      <c r="F64" s="319"/>
      <c r="G64" s="319"/>
    </row>
    <row r="65" spans="1:8">
      <c r="A65" s="316" t="s">
        <v>1950</v>
      </c>
      <c r="B65" s="673" t="s">
        <v>2694</v>
      </c>
      <c r="C65" s="296" t="s">
        <v>2695</v>
      </c>
      <c r="D65" s="310"/>
      <c r="E65" s="310"/>
      <c r="F65" s="319"/>
      <c r="G65" s="319"/>
    </row>
    <row r="66" spans="1:8">
      <c r="A66" s="299" t="s">
        <v>1951</v>
      </c>
      <c r="B66" s="672">
        <v>20200200000000</v>
      </c>
      <c r="C66" s="300" t="s">
        <v>2696</v>
      </c>
      <c r="D66" s="339"/>
      <c r="E66" s="339" t="str">
        <f>+B65</f>
        <v>AAA360</v>
      </c>
      <c r="F66" s="321"/>
      <c r="G66" s="321"/>
    </row>
    <row r="67" spans="1:8">
      <c r="A67" s="316" t="s">
        <v>1950</v>
      </c>
      <c r="B67" s="673" t="s">
        <v>2697</v>
      </c>
      <c r="C67" s="296" t="s">
        <v>2698</v>
      </c>
      <c r="D67" s="310"/>
      <c r="E67" s="310"/>
      <c r="F67" s="319"/>
      <c r="G67" s="319"/>
    </row>
    <row r="68" spans="1:8">
      <c r="A68" s="299" t="s">
        <v>1951</v>
      </c>
      <c r="B68" s="672">
        <v>210200200000000</v>
      </c>
      <c r="C68" s="300" t="s">
        <v>2699</v>
      </c>
      <c r="D68" s="339"/>
      <c r="E68" s="339" t="str">
        <f>+B67</f>
        <v>AAA370</v>
      </c>
      <c r="F68" s="321"/>
      <c r="G68" s="321"/>
      <c r="H68" t="s">
        <v>3708</v>
      </c>
    </row>
    <row r="69" spans="1:8">
      <c r="A69" s="316" t="s">
        <v>1946</v>
      </c>
      <c r="B69" s="673" t="s">
        <v>2700</v>
      </c>
      <c r="C69" s="296" t="s">
        <v>2701</v>
      </c>
      <c r="D69" s="310"/>
      <c r="E69" s="310"/>
      <c r="F69" s="319"/>
      <c r="G69" s="319"/>
    </row>
    <row r="70" spans="1:8">
      <c r="A70" s="316" t="s">
        <v>1948</v>
      </c>
      <c r="B70" s="673" t="s">
        <v>2702</v>
      </c>
      <c r="C70" s="296" t="s">
        <v>2703</v>
      </c>
      <c r="D70" s="310"/>
      <c r="E70" s="310"/>
      <c r="F70" s="319"/>
      <c r="G70" s="319"/>
    </row>
    <row r="71" spans="1:8">
      <c r="A71" s="299" t="s">
        <v>1950</v>
      </c>
      <c r="B71" s="672">
        <v>20300000000000</v>
      </c>
      <c r="C71" s="300" t="s">
        <v>2704</v>
      </c>
      <c r="D71" s="339"/>
      <c r="E71" s="339" t="str">
        <f>+B70</f>
        <v>AAA390</v>
      </c>
      <c r="F71" s="321">
        <v>246273.95</v>
      </c>
      <c r="G71" s="321">
        <v>246273.95</v>
      </c>
    </row>
    <row r="72" spans="1:8">
      <c r="A72" s="316" t="s">
        <v>1948</v>
      </c>
      <c r="B72" s="673" t="s">
        <v>2705</v>
      </c>
      <c r="C72" s="296" t="s">
        <v>2706</v>
      </c>
      <c r="D72" s="310"/>
      <c r="E72" s="310"/>
      <c r="F72" s="319"/>
      <c r="G72" s="319"/>
    </row>
    <row r="73" spans="1:8">
      <c r="A73" s="299" t="s">
        <v>1950</v>
      </c>
      <c r="B73" s="672">
        <v>210200300000000</v>
      </c>
      <c r="C73" s="300" t="s">
        <v>2707</v>
      </c>
      <c r="D73" s="339"/>
      <c r="E73" s="339" t="str">
        <f>+B72</f>
        <v>AAA400</v>
      </c>
      <c r="F73" s="321">
        <v>-143336.87</v>
      </c>
      <c r="G73" s="321">
        <v>-116555.48</v>
      </c>
      <c r="H73" t="s">
        <v>3708</v>
      </c>
    </row>
    <row r="74" spans="1:8">
      <c r="A74" s="316" t="s">
        <v>1946</v>
      </c>
      <c r="B74" s="673" t="s">
        <v>2708</v>
      </c>
      <c r="C74" s="296" t="s">
        <v>2709</v>
      </c>
      <c r="D74" s="310"/>
      <c r="E74" s="310"/>
      <c r="F74" s="319"/>
      <c r="G74" s="319"/>
    </row>
    <row r="75" spans="1:8">
      <c r="A75" s="316" t="s">
        <v>1948</v>
      </c>
      <c r="B75" s="673" t="s">
        <v>2710</v>
      </c>
      <c r="C75" s="296" t="s">
        <v>2711</v>
      </c>
      <c r="D75" s="310"/>
      <c r="E75" s="310"/>
      <c r="F75" s="319"/>
      <c r="G75" s="319"/>
    </row>
    <row r="76" spans="1:8">
      <c r="A76" s="299" t="s">
        <v>1950</v>
      </c>
      <c r="B76" s="672">
        <v>20400000000000</v>
      </c>
      <c r="C76" s="300" t="s">
        <v>2712</v>
      </c>
      <c r="D76" s="339"/>
      <c r="E76" s="339" t="str">
        <f>+B75</f>
        <v>AAA420</v>
      </c>
      <c r="F76" s="321">
        <v>198389.26</v>
      </c>
      <c r="G76" s="321">
        <v>198389.26</v>
      </c>
    </row>
    <row r="77" spans="1:8">
      <c r="A77" s="316" t="s">
        <v>1948</v>
      </c>
      <c r="B77" s="673" t="s">
        <v>2713</v>
      </c>
      <c r="C77" s="296" t="s">
        <v>2714</v>
      </c>
      <c r="D77" s="310"/>
      <c r="E77" s="310"/>
      <c r="F77" s="319"/>
      <c r="G77" s="319"/>
    </row>
    <row r="78" spans="1:8">
      <c r="A78" s="299" t="s">
        <v>1950</v>
      </c>
      <c r="B78" s="672">
        <v>210200400000000</v>
      </c>
      <c r="C78" s="300" t="s">
        <v>2715</v>
      </c>
      <c r="D78" s="339"/>
      <c r="E78" s="339" t="str">
        <f>+B77</f>
        <v>AAA430</v>
      </c>
      <c r="F78" s="321">
        <v>-153931.91</v>
      </c>
      <c r="G78" s="321">
        <v>-122744.86</v>
      </c>
      <c r="H78" t="s">
        <v>3708</v>
      </c>
    </row>
    <row r="79" spans="1:8">
      <c r="A79" s="316" t="s">
        <v>1946</v>
      </c>
      <c r="B79" s="673" t="s">
        <v>2716</v>
      </c>
      <c r="C79" s="296" t="s">
        <v>2717</v>
      </c>
      <c r="D79" s="310"/>
      <c r="E79" s="310"/>
      <c r="F79" s="319"/>
      <c r="G79" s="319"/>
    </row>
    <row r="80" spans="1:8">
      <c r="A80" s="316" t="s">
        <v>1948</v>
      </c>
      <c r="B80" s="673" t="s">
        <v>2718</v>
      </c>
      <c r="C80" s="296" t="s">
        <v>2719</v>
      </c>
      <c r="D80" s="310"/>
      <c r="E80" s="310"/>
      <c r="F80" s="319"/>
      <c r="G80" s="319"/>
    </row>
    <row r="81" spans="1:8">
      <c r="A81" s="299" t="s">
        <v>1950</v>
      </c>
      <c r="B81" s="672">
        <v>20500000000000</v>
      </c>
      <c r="C81" s="300" t="s">
        <v>2720</v>
      </c>
      <c r="D81" s="339"/>
      <c r="E81" s="339" t="str">
        <f>+B80</f>
        <v>AAA450</v>
      </c>
      <c r="F81" s="321">
        <v>427161.32</v>
      </c>
      <c r="G81" s="321">
        <v>393649.14</v>
      </c>
    </row>
    <row r="82" spans="1:8">
      <c r="A82" s="316" t="s">
        <v>1948</v>
      </c>
      <c r="B82" s="673" t="s">
        <v>2721</v>
      </c>
      <c r="C82" s="296" t="s">
        <v>2722</v>
      </c>
      <c r="D82" s="310"/>
      <c r="E82" s="310"/>
      <c r="F82" s="319"/>
      <c r="G82" s="319"/>
    </row>
    <row r="83" spans="1:8">
      <c r="A83" s="299" t="s">
        <v>1950</v>
      </c>
      <c r="B83" s="672">
        <v>210200500000000</v>
      </c>
      <c r="C83" s="300" t="s">
        <v>2723</v>
      </c>
      <c r="D83" s="339"/>
      <c r="E83" s="339" t="str">
        <f>+B82</f>
        <v>AAA460</v>
      </c>
      <c r="F83" s="321">
        <v>-324213.96000000002</v>
      </c>
      <c r="G83" s="321">
        <v>-300516.01</v>
      </c>
      <c r="H83" t="s">
        <v>3708</v>
      </c>
    </row>
    <row r="84" spans="1:8">
      <c r="A84" s="316" t="s">
        <v>1946</v>
      </c>
      <c r="B84" s="673" t="s">
        <v>2724</v>
      </c>
      <c r="C84" s="296" t="s">
        <v>2725</v>
      </c>
      <c r="D84" s="310"/>
      <c r="E84" s="310"/>
      <c r="F84" s="319"/>
      <c r="G84" s="319"/>
    </row>
    <row r="85" spans="1:8">
      <c r="A85" s="316" t="s">
        <v>1948</v>
      </c>
      <c r="B85" s="673" t="s">
        <v>2726</v>
      </c>
      <c r="C85" s="296" t="s">
        <v>2727</v>
      </c>
      <c r="D85" s="310"/>
      <c r="E85" s="310"/>
      <c r="F85" s="319"/>
      <c r="G85" s="319"/>
    </row>
    <row r="86" spans="1:8">
      <c r="A86" s="299" t="s">
        <v>1950</v>
      </c>
      <c r="B86" s="672">
        <v>20600000000000</v>
      </c>
      <c r="C86" s="300" t="s">
        <v>2728</v>
      </c>
      <c r="D86" s="339"/>
      <c r="E86" s="339" t="str">
        <f>+B85</f>
        <v>AAA480</v>
      </c>
      <c r="F86" s="321">
        <v>96404.45</v>
      </c>
      <c r="G86" s="321">
        <v>96404.45</v>
      </c>
    </row>
    <row r="87" spans="1:8">
      <c r="A87" s="316" t="s">
        <v>1948</v>
      </c>
      <c r="B87" s="673" t="s">
        <v>2729</v>
      </c>
      <c r="C87" s="296" t="s">
        <v>2730</v>
      </c>
      <c r="D87" s="310"/>
      <c r="E87" s="310"/>
      <c r="F87" s="319"/>
      <c r="G87" s="319"/>
    </row>
    <row r="88" spans="1:8">
      <c r="A88" s="299" t="s">
        <v>1950</v>
      </c>
      <c r="B88" s="672">
        <v>210200600000000</v>
      </c>
      <c r="C88" s="300" t="s">
        <v>2731</v>
      </c>
      <c r="D88" s="339"/>
      <c r="E88" s="339" t="str">
        <f>+B87</f>
        <v>AAA490</v>
      </c>
      <c r="F88" s="321">
        <v>-95397.62</v>
      </c>
      <c r="G88" s="321">
        <v>-93383.97</v>
      </c>
      <c r="H88" t="s">
        <v>3708</v>
      </c>
    </row>
    <row r="89" spans="1:8">
      <c r="A89" s="316" t="s">
        <v>1946</v>
      </c>
      <c r="B89" s="673" t="s">
        <v>2732</v>
      </c>
      <c r="C89" s="296" t="s">
        <v>2733</v>
      </c>
      <c r="D89" s="310"/>
      <c r="E89" s="310"/>
      <c r="F89" s="319"/>
      <c r="G89" s="319"/>
    </row>
    <row r="90" spans="1:8">
      <c r="A90" s="299" t="s">
        <v>1948</v>
      </c>
      <c r="B90" s="672">
        <v>20700000000000</v>
      </c>
      <c r="C90" s="300" t="s">
        <v>2734</v>
      </c>
      <c r="D90" s="339"/>
      <c r="E90" s="339" t="str">
        <f>+B89</f>
        <v>AAA500</v>
      </c>
      <c r="F90" s="321"/>
      <c r="G90" s="321"/>
    </row>
    <row r="91" spans="1:8">
      <c r="A91" s="316" t="s">
        <v>1946</v>
      </c>
      <c r="B91" s="673" t="s">
        <v>2735</v>
      </c>
      <c r="C91" s="296" t="s">
        <v>2736</v>
      </c>
      <c r="D91" s="310"/>
      <c r="E91" s="310"/>
      <c r="F91" s="319"/>
      <c r="G91" s="319"/>
    </row>
    <row r="92" spans="1:8">
      <c r="A92" s="316" t="s">
        <v>1948</v>
      </c>
      <c r="B92" s="673" t="s">
        <v>2737</v>
      </c>
      <c r="C92" s="296" t="s">
        <v>2738</v>
      </c>
      <c r="D92" s="310"/>
      <c r="E92" s="310"/>
      <c r="F92" s="319"/>
      <c r="G92" s="319"/>
    </row>
    <row r="93" spans="1:8">
      <c r="A93" s="299" t="s">
        <v>1950</v>
      </c>
      <c r="B93" s="672">
        <v>20800000000000</v>
      </c>
      <c r="C93" s="300" t="s">
        <v>2739</v>
      </c>
      <c r="D93" s="339"/>
      <c r="E93" s="339" t="str">
        <f>+B92</f>
        <v>AAA520</v>
      </c>
      <c r="F93" s="321">
        <v>835019.21</v>
      </c>
      <c r="G93" s="321">
        <v>784258.52</v>
      </c>
    </row>
    <row r="94" spans="1:8">
      <c r="A94" s="316" t="s">
        <v>1948</v>
      </c>
      <c r="B94" s="673" t="s">
        <v>2740</v>
      </c>
      <c r="C94" s="296" t="s">
        <v>2741</v>
      </c>
      <c r="D94" s="310"/>
      <c r="E94" s="310"/>
      <c r="F94" s="319"/>
      <c r="G94" s="319"/>
    </row>
    <row r="95" spans="1:8">
      <c r="A95" s="299" t="s">
        <v>1950</v>
      </c>
      <c r="B95" s="672">
        <v>210200700000000</v>
      </c>
      <c r="C95" s="300" t="s">
        <v>2742</v>
      </c>
      <c r="D95" s="339"/>
      <c r="E95" s="339" t="str">
        <f>+B94</f>
        <v>AAA530</v>
      </c>
      <c r="F95" s="321">
        <v>-670736.37</v>
      </c>
      <c r="G95" s="321">
        <v>-593060.04</v>
      </c>
      <c r="H95" t="s">
        <v>3708</v>
      </c>
    </row>
    <row r="96" spans="1:8">
      <c r="A96" s="316" t="s">
        <v>1946</v>
      </c>
      <c r="B96" s="673" t="s">
        <v>2743</v>
      </c>
      <c r="C96" s="296" t="s">
        <v>2744</v>
      </c>
      <c r="D96" s="310"/>
      <c r="E96" s="310"/>
      <c r="F96" s="319"/>
      <c r="G96" s="319"/>
    </row>
    <row r="97" spans="1:8">
      <c r="A97" s="299" t="s">
        <v>1948</v>
      </c>
      <c r="B97" s="672">
        <v>20900000000000</v>
      </c>
      <c r="C97" s="300" t="s">
        <v>2745</v>
      </c>
      <c r="D97" s="339"/>
      <c r="E97" s="339" t="str">
        <f>+B96</f>
        <v>AAA540</v>
      </c>
      <c r="F97" s="321"/>
      <c r="G97" s="321"/>
    </row>
    <row r="98" spans="1:8">
      <c r="A98" s="316">
        <v>4</v>
      </c>
      <c r="B98" s="673" t="s">
        <v>2746</v>
      </c>
      <c r="C98" s="296" t="s">
        <v>2747</v>
      </c>
      <c r="D98" s="310"/>
      <c r="E98" s="310"/>
      <c r="F98" s="319"/>
      <c r="G98" s="319"/>
    </row>
    <row r="99" spans="1:8">
      <c r="A99" s="316" t="s">
        <v>1948</v>
      </c>
      <c r="B99" s="673" t="s">
        <v>2748</v>
      </c>
      <c r="C99" s="296" t="s">
        <v>2749</v>
      </c>
      <c r="D99" s="310"/>
      <c r="E99" s="310"/>
      <c r="F99" s="319"/>
      <c r="G99" s="319"/>
    </row>
    <row r="100" spans="1:8">
      <c r="A100" s="299">
        <v>6</v>
      </c>
      <c r="B100" s="672">
        <v>210400050000000</v>
      </c>
      <c r="C100" s="300" t="s">
        <v>2750</v>
      </c>
      <c r="D100" s="339"/>
      <c r="E100" s="339" t="str">
        <f>+B99</f>
        <v>AAA560</v>
      </c>
      <c r="F100" s="321"/>
      <c r="G100" s="321"/>
      <c r="H100" t="s">
        <v>3708</v>
      </c>
    </row>
    <row r="101" spans="1:8">
      <c r="A101" s="299">
        <v>6</v>
      </c>
      <c r="B101" s="672">
        <v>210400100000000</v>
      </c>
      <c r="C101" s="300" t="s">
        <v>2751</v>
      </c>
      <c r="D101" s="339"/>
      <c r="E101" s="339" t="str">
        <f>+E100</f>
        <v>AAA560</v>
      </c>
      <c r="F101" s="321"/>
      <c r="G101" s="321"/>
      <c r="H101" t="s">
        <v>3708</v>
      </c>
    </row>
    <row r="102" spans="1:8">
      <c r="A102" s="316" t="s">
        <v>1948</v>
      </c>
      <c r="B102" s="673" t="s">
        <v>2752</v>
      </c>
      <c r="C102" s="296" t="s">
        <v>2753</v>
      </c>
      <c r="D102" s="310"/>
      <c r="E102" s="310"/>
      <c r="F102" s="319"/>
      <c r="G102" s="319"/>
    </row>
    <row r="103" spans="1:8">
      <c r="A103" s="299" t="s">
        <v>1950</v>
      </c>
      <c r="B103" s="672">
        <v>210400150000000</v>
      </c>
      <c r="C103" s="300" t="s">
        <v>2754</v>
      </c>
      <c r="D103" s="339"/>
      <c r="E103" s="339" t="str">
        <f>+B102</f>
        <v>AAA570</v>
      </c>
      <c r="F103" s="321"/>
      <c r="G103" s="321"/>
      <c r="H103" t="s">
        <v>3708</v>
      </c>
    </row>
    <row r="104" spans="1:8">
      <c r="A104" s="299">
        <v>6</v>
      </c>
      <c r="B104" s="672">
        <v>210400200000000</v>
      </c>
      <c r="C104" s="300" t="s">
        <v>2755</v>
      </c>
      <c r="D104" s="339"/>
      <c r="E104" s="339" t="str">
        <f>+E103</f>
        <v>AAA570</v>
      </c>
      <c r="F104" s="321"/>
      <c r="G104" s="321"/>
      <c r="H104" t="s">
        <v>3708</v>
      </c>
    </row>
    <row r="105" spans="1:8">
      <c r="A105" s="316" t="s">
        <v>1948</v>
      </c>
      <c r="B105" s="673" t="s">
        <v>2756</v>
      </c>
      <c r="C105" s="296" t="s">
        <v>2757</v>
      </c>
      <c r="D105" s="310"/>
      <c r="E105" s="310"/>
      <c r="F105" s="319"/>
      <c r="G105" s="319"/>
    </row>
    <row r="106" spans="1:8">
      <c r="A106" s="299" t="s">
        <v>1950</v>
      </c>
      <c r="B106" s="672">
        <v>210400300000000</v>
      </c>
      <c r="C106" s="300" t="s">
        <v>2758</v>
      </c>
      <c r="D106" s="339"/>
      <c r="E106" s="339" t="str">
        <f>+B105</f>
        <v>AAA580</v>
      </c>
      <c r="F106" s="321"/>
      <c r="G106" s="321"/>
      <c r="H106" t="s">
        <v>3708</v>
      </c>
    </row>
    <row r="107" spans="1:8">
      <c r="A107" s="316" t="s">
        <v>1948</v>
      </c>
      <c r="B107" s="673" t="s">
        <v>2759</v>
      </c>
      <c r="C107" s="296" t="s">
        <v>2760</v>
      </c>
      <c r="D107" s="310"/>
      <c r="E107" s="310"/>
      <c r="F107" s="319"/>
      <c r="G107" s="319"/>
    </row>
    <row r="108" spans="1:8">
      <c r="A108" s="299" t="s">
        <v>1950</v>
      </c>
      <c r="B108" s="672">
        <v>210400400000000</v>
      </c>
      <c r="C108" s="300" t="s">
        <v>2761</v>
      </c>
      <c r="D108" s="339"/>
      <c r="E108" s="339" t="str">
        <f>+B107</f>
        <v>AAA590</v>
      </c>
      <c r="F108" s="321"/>
      <c r="G108" s="321"/>
      <c r="H108" t="s">
        <v>3708</v>
      </c>
    </row>
    <row r="109" spans="1:8">
      <c r="A109" s="316" t="s">
        <v>1948</v>
      </c>
      <c r="B109" s="673" t="s">
        <v>2762</v>
      </c>
      <c r="C109" s="296" t="s">
        <v>2763</v>
      </c>
      <c r="D109" s="310"/>
      <c r="E109" s="310"/>
      <c r="F109" s="319"/>
      <c r="G109" s="319"/>
    </row>
    <row r="110" spans="1:8">
      <c r="A110" s="299" t="s">
        <v>1950</v>
      </c>
      <c r="B110" s="672">
        <v>210400500000000</v>
      </c>
      <c r="C110" s="300" t="s">
        <v>2764</v>
      </c>
      <c r="D110" s="339"/>
      <c r="E110" s="339" t="str">
        <f>+B109</f>
        <v>AAA600</v>
      </c>
      <c r="F110" s="321"/>
      <c r="G110" s="321"/>
      <c r="H110" t="s">
        <v>3708</v>
      </c>
    </row>
    <row r="111" spans="1:8">
      <c r="A111" s="316" t="s">
        <v>1948</v>
      </c>
      <c r="B111" s="673" t="s">
        <v>2765</v>
      </c>
      <c r="C111" s="296" t="s">
        <v>2766</v>
      </c>
      <c r="D111" s="310"/>
      <c r="E111" s="310"/>
      <c r="F111" s="319"/>
      <c r="G111" s="319"/>
    </row>
    <row r="112" spans="1:8">
      <c r="A112" s="299" t="s">
        <v>1950</v>
      </c>
      <c r="B112" s="672">
        <v>210400600000000</v>
      </c>
      <c r="C112" s="300" t="s">
        <v>2767</v>
      </c>
      <c r="D112" s="339"/>
      <c r="E112" s="339" t="str">
        <f>+B111</f>
        <v>AAA610</v>
      </c>
      <c r="F112" s="321"/>
      <c r="G112" s="321"/>
      <c r="H112" t="s">
        <v>3708</v>
      </c>
    </row>
    <row r="113" spans="1:8">
      <c r="A113" s="316" t="s">
        <v>1948</v>
      </c>
      <c r="B113" s="673" t="s">
        <v>2768</v>
      </c>
      <c r="C113" s="296" t="s">
        <v>2769</v>
      </c>
      <c r="D113" s="310"/>
      <c r="E113" s="310"/>
      <c r="F113" s="319"/>
      <c r="G113" s="319"/>
    </row>
    <row r="114" spans="1:8">
      <c r="A114" s="299" t="s">
        <v>1950</v>
      </c>
      <c r="B114" s="672">
        <v>210400700000000</v>
      </c>
      <c r="C114" s="300" t="s">
        <v>2770</v>
      </c>
      <c r="D114" s="339"/>
      <c r="E114" s="339" t="str">
        <f>+B113</f>
        <v>AAA620</v>
      </c>
      <c r="F114" s="321"/>
      <c r="G114" s="321"/>
      <c r="H114" t="s">
        <v>3708</v>
      </c>
    </row>
    <row r="115" spans="1:8">
      <c r="A115" s="316" t="s">
        <v>1948</v>
      </c>
      <c r="B115" s="673" t="s">
        <v>2771</v>
      </c>
      <c r="C115" s="296" t="s">
        <v>2772</v>
      </c>
      <c r="D115" s="310"/>
      <c r="E115" s="310"/>
      <c r="F115" s="319"/>
      <c r="G115" s="319"/>
    </row>
    <row r="116" spans="1:8">
      <c r="A116" s="299" t="s">
        <v>1950</v>
      </c>
      <c r="B116" s="672">
        <v>210400800000000</v>
      </c>
      <c r="C116" s="300" t="s">
        <v>2773</v>
      </c>
      <c r="D116" s="339"/>
      <c r="E116" s="339" t="str">
        <f>+B115</f>
        <v>AAA630</v>
      </c>
      <c r="F116" s="321"/>
      <c r="G116" s="321"/>
      <c r="H116" t="s">
        <v>3708</v>
      </c>
    </row>
    <row r="117" spans="1:8">
      <c r="A117" s="316" t="s">
        <v>1944</v>
      </c>
      <c r="B117" s="673" t="s">
        <v>2774</v>
      </c>
      <c r="C117" s="296" t="s">
        <v>2775</v>
      </c>
      <c r="D117" s="310"/>
      <c r="E117" s="310"/>
      <c r="F117" s="319"/>
      <c r="G117" s="319"/>
    </row>
    <row r="118" spans="1:8">
      <c r="A118" s="316" t="s">
        <v>1946</v>
      </c>
      <c r="B118" s="673" t="s">
        <v>2776</v>
      </c>
      <c r="C118" s="296" t="s">
        <v>2777</v>
      </c>
      <c r="D118" s="310"/>
      <c r="E118" s="310"/>
      <c r="F118" s="319"/>
      <c r="G118" s="319"/>
    </row>
    <row r="119" spans="1:8">
      <c r="A119" s="316" t="s">
        <v>1948</v>
      </c>
      <c r="B119" s="673" t="s">
        <v>2778</v>
      </c>
      <c r="C119" s="296" t="s">
        <v>2779</v>
      </c>
      <c r="D119" s="310"/>
      <c r="E119" s="310"/>
      <c r="F119" s="319"/>
      <c r="G119" s="319"/>
    </row>
    <row r="120" spans="1:8">
      <c r="A120" s="299">
        <v>6</v>
      </c>
      <c r="B120" s="672">
        <v>30100100000000</v>
      </c>
      <c r="C120" s="300" t="s">
        <v>2780</v>
      </c>
      <c r="D120" s="339"/>
      <c r="E120" s="339" t="str">
        <f>+B119</f>
        <v>AAA660</v>
      </c>
      <c r="F120" s="321"/>
      <c r="G120" s="321"/>
    </row>
    <row r="121" spans="1:8">
      <c r="A121" s="299" t="s">
        <v>1950</v>
      </c>
      <c r="B121" s="678">
        <v>210500100000000</v>
      </c>
      <c r="C121" s="300" t="s">
        <v>2781</v>
      </c>
      <c r="D121" s="339"/>
      <c r="E121" s="339" t="str">
        <f>+E120</f>
        <v>AAA660</v>
      </c>
      <c r="F121" s="321"/>
      <c r="G121" s="321"/>
      <c r="H121" t="s">
        <v>3708</v>
      </c>
    </row>
    <row r="122" spans="1:8">
      <c r="A122" s="316" t="s">
        <v>1948</v>
      </c>
      <c r="B122" s="673" t="s">
        <v>2782</v>
      </c>
      <c r="C122" s="296" t="s">
        <v>2783</v>
      </c>
      <c r="D122" s="310"/>
      <c r="E122" s="310"/>
      <c r="F122" s="319"/>
      <c r="G122" s="319"/>
    </row>
    <row r="123" spans="1:8">
      <c r="A123" s="299">
        <v>6</v>
      </c>
      <c r="B123" s="672">
        <v>30100200000000</v>
      </c>
      <c r="C123" s="300" t="s">
        <v>2784</v>
      </c>
      <c r="D123" s="339"/>
      <c r="E123" s="339" t="str">
        <f>+B122</f>
        <v>AAA670</v>
      </c>
      <c r="F123" s="321"/>
      <c r="G123" s="321"/>
    </row>
    <row r="124" spans="1:8">
      <c r="A124" s="299" t="s">
        <v>1950</v>
      </c>
      <c r="B124" s="672">
        <v>210500101000000</v>
      </c>
      <c r="C124" s="300" t="s">
        <v>2785</v>
      </c>
      <c r="D124" s="339"/>
      <c r="E124" s="339" t="str">
        <f>+E123</f>
        <v>AAA670</v>
      </c>
      <c r="F124" s="321"/>
      <c r="G124" s="321"/>
      <c r="H124" t="str">
        <f>+H121</f>
        <v>SEGNO NEGATIVO</v>
      </c>
    </row>
    <row r="125" spans="1:8">
      <c r="A125" s="316" t="s">
        <v>1948</v>
      </c>
      <c r="B125" s="673" t="s">
        <v>2786</v>
      </c>
      <c r="C125" s="296" t="s">
        <v>2787</v>
      </c>
      <c r="D125" s="310"/>
      <c r="E125" s="310"/>
      <c r="F125" s="319"/>
      <c r="G125" s="319"/>
    </row>
    <row r="126" spans="1:8">
      <c r="A126" s="299">
        <v>6</v>
      </c>
      <c r="B126" s="672">
        <v>30100300000000</v>
      </c>
      <c r="C126" s="340" t="s">
        <v>2788</v>
      </c>
      <c r="D126" s="339"/>
      <c r="E126" s="339" t="str">
        <f>+B125</f>
        <v>AAA680</v>
      </c>
      <c r="F126" s="321"/>
      <c r="G126" s="321"/>
    </row>
    <row r="127" spans="1:8">
      <c r="A127" s="299" t="s">
        <v>1950</v>
      </c>
      <c r="B127" s="672">
        <v>210500102000000</v>
      </c>
      <c r="C127" s="300" t="s">
        <v>2789</v>
      </c>
      <c r="D127" s="339"/>
      <c r="E127" s="339" t="str">
        <f>+E126</f>
        <v>AAA680</v>
      </c>
      <c r="F127" s="321"/>
      <c r="G127" s="321"/>
      <c r="H127" t="s">
        <v>3708</v>
      </c>
    </row>
    <row r="128" spans="1:8">
      <c r="A128" s="316" t="s">
        <v>1948</v>
      </c>
      <c r="B128" s="673" t="s">
        <v>2790</v>
      </c>
      <c r="C128" s="296" t="s">
        <v>2791</v>
      </c>
      <c r="D128" s="310"/>
      <c r="E128" s="310"/>
      <c r="F128" s="319"/>
      <c r="G128" s="319"/>
    </row>
    <row r="129" spans="1:8">
      <c r="A129" s="299">
        <v>6</v>
      </c>
      <c r="B129" s="672">
        <v>30100400100000</v>
      </c>
      <c r="C129" s="300" t="s">
        <v>2792</v>
      </c>
      <c r="D129" s="339"/>
      <c r="E129" s="339" t="str">
        <f>+B128</f>
        <v>AAA690</v>
      </c>
      <c r="F129" s="321"/>
      <c r="G129" s="321"/>
    </row>
    <row r="130" spans="1:8">
      <c r="A130" s="299">
        <v>6</v>
      </c>
      <c r="B130" s="672">
        <v>30100400200000</v>
      </c>
      <c r="C130" s="300" t="s">
        <v>2793</v>
      </c>
      <c r="D130" s="339"/>
      <c r="E130" s="339" t="str">
        <f>+E129</f>
        <v>AAA690</v>
      </c>
      <c r="F130" s="321"/>
      <c r="G130" s="321"/>
    </row>
    <row r="131" spans="1:8">
      <c r="A131" s="299">
        <v>6</v>
      </c>
      <c r="B131" s="672">
        <v>30100400300000</v>
      </c>
      <c r="C131" s="300" t="s">
        <v>2794</v>
      </c>
      <c r="D131" s="339"/>
      <c r="E131" s="339" t="str">
        <f>+E130</f>
        <v>AAA690</v>
      </c>
      <c r="F131" s="321"/>
      <c r="G131" s="321"/>
    </row>
    <row r="132" spans="1:8">
      <c r="A132" s="299" t="s">
        <v>1950</v>
      </c>
      <c r="B132" s="672">
        <v>210500103000000</v>
      </c>
      <c r="C132" s="300" t="s">
        <v>2795</v>
      </c>
      <c r="D132" s="339"/>
      <c r="E132" s="339" t="str">
        <f>+E131</f>
        <v>AAA690</v>
      </c>
      <c r="F132" s="321"/>
      <c r="G132" s="321"/>
      <c r="H132" t="s">
        <v>3708</v>
      </c>
    </row>
    <row r="133" spans="1:8">
      <c r="A133" s="316" t="s">
        <v>1946</v>
      </c>
      <c r="B133" s="673" t="s">
        <v>2796</v>
      </c>
      <c r="C133" s="296" t="s">
        <v>2797</v>
      </c>
      <c r="D133" s="310"/>
      <c r="E133" s="310"/>
      <c r="F133" s="319"/>
      <c r="G133" s="319"/>
    </row>
    <row r="134" spans="1:8">
      <c r="A134" s="316" t="s">
        <v>1948</v>
      </c>
      <c r="B134" s="673" t="s">
        <v>2798</v>
      </c>
      <c r="C134" s="296" t="s">
        <v>2799</v>
      </c>
      <c r="D134" s="310"/>
      <c r="E134" s="310"/>
      <c r="F134" s="319"/>
      <c r="G134" s="319"/>
    </row>
    <row r="135" spans="1:8">
      <c r="A135" s="299" t="s">
        <v>1950</v>
      </c>
      <c r="B135" s="672">
        <v>30200100000000</v>
      </c>
      <c r="C135" s="300" t="s">
        <v>2800</v>
      </c>
      <c r="D135" s="339"/>
      <c r="E135" s="339" t="str">
        <f>+B134</f>
        <v>AAA710</v>
      </c>
      <c r="F135" s="321"/>
      <c r="G135" s="321"/>
    </row>
    <row r="136" spans="1:8">
      <c r="A136" s="316" t="s">
        <v>1948</v>
      </c>
      <c r="B136" s="673" t="s">
        <v>2801</v>
      </c>
      <c r="C136" s="296" t="s">
        <v>2802</v>
      </c>
      <c r="D136" s="310"/>
      <c r="E136" s="310"/>
      <c r="F136" s="319"/>
      <c r="G136" s="319"/>
    </row>
    <row r="137" spans="1:8">
      <c r="A137" s="316" t="s">
        <v>1950</v>
      </c>
      <c r="B137" s="673" t="s">
        <v>2803</v>
      </c>
      <c r="C137" s="296" t="s">
        <v>2804</v>
      </c>
      <c r="D137" s="310"/>
      <c r="E137" s="310"/>
      <c r="F137" s="319"/>
      <c r="G137" s="319"/>
    </row>
    <row r="138" spans="1:8">
      <c r="A138" s="299" t="s">
        <v>1951</v>
      </c>
      <c r="B138" s="672">
        <v>30200200100000</v>
      </c>
      <c r="C138" s="300" t="s">
        <v>2805</v>
      </c>
      <c r="D138" s="339"/>
      <c r="E138" s="339" t="str">
        <f>+B137</f>
        <v>AAA730</v>
      </c>
      <c r="F138" s="321"/>
      <c r="G138" s="321"/>
    </row>
    <row r="139" spans="1:8">
      <c r="A139" s="316" t="s">
        <v>1950</v>
      </c>
      <c r="B139" s="673" t="s">
        <v>2806</v>
      </c>
      <c r="C139" s="296" t="s">
        <v>2807</v>
      </c>
      <c r="D139" s="310"/>
      <c r="E139" s="310"/>
      <c r="F139" s="319"/>
      <c r="G139" s="319"/>
    </row>
    <row r="140" spans="1:8">
      <c r="A140" s="299" t="s">
        <v>1951</v>
      </c>
      <c r="B140" s="672">
        <v>30200200200000</v>
      </c>
      <c r="C140" s="300" t="s">
        <v>2808</v>
      </c>
      <c r="D140" s="339"/>
      <c r="E140" s="339" t="str">
        <f>+B139</f>
        <v>AAA740</v>
      </c>
      <c r="F140" s="321"/>
      <c r="G140" s="321"/>
    </row>
    <row r="141" spans="1:8">
      <c r="A141" s="316" t="s">
        <v>1950</v>
      </c>
      <c r="B141" s="673" t="s">
        <v>2809</v>
      </c>
      <c r="C141" s="296" t="s">
        <v>2810</v>
      </c>
      <c r="D141" s="310"/>
      <c r="E141" s="310"/>
      <c r="F141" s="319"/>
      <c r="G141" s="319"/>
    </row>
    <row r="142" spans="1:8">
      <c r="A142" s="299" t="s">
        <v>1951</v>
      </c>
      <c r="B142" s="672">
        <v>30200200300000</v>
      </c>
      <c r="C142" s="300" t="s">
        <v>2811</v>
      </c>
      <c r="D142" s="339"/>
      <c r="E142" s="339" t="str">
        <f>+B141</f>
        <v>AAA750</v>
      </c>
      <c r="F142" s="321"/>
      <c r="G142" s="321"/>
    </row>
    <row r="143" spans="1:8">
      <c r="A143" s="316" t="s">
        <v>1950</v>
      </c>
      <c r="B143" s="673" t="s">
        <v>2812</v>
      </c>
      <c r="C143" s="296" t="s">
        <v>2813</v>
      </c>
      <c r="D143" s="310"/>
      <c r="E143" s="310"/>
      <c r="F143" s="319"/>
      <c r="G143" s="319"/>
    </row>
    <row r="144" spans="1:8">
      <c r="A144" s="299" t="s">
        <v>1951</v>
      </c>
      <c r="B144" s="672">
        <v>30200200400000</v>
      </c>
      <c r="C144" s="300" t="s">
        <v>2814</v>
      </c>
      <c r="D144" s="339"/>
      <c r="E144" s="339" t="str">
        <f>+B143</f>
        <v>AAA760</v>
      </c>
      <c r="F144" s="321"/>
      <c r="G144" s="321"/>
    </row>
    <row r="145" spans="1:7">
      <c r="A145" s="316" t="s">
        <v>1941</v>
      </c>
      <c r="B145" s="673" t="s">
        <v>2815</v>
      </c>
      <c r="C145" s="296" t="s">
        <v>2816</v>
      </c>
      <c r="D145" s="310"/>
      <c r="E145" s="310"/>
      <c r="F145" s="319"/>
      <c r="G145" s="319"/>
    </row>
    <row r="146" spans="1:7">
      <c r="A146" s="316" t="s">
        <v>1944</v>
      </c>
      <c r="B146" s="673" t="s">
        <v>2817</v>
      </c>
      <c r="C146" s="296" t="s">
        <v>2818</v>
      </c>
      <c r="D146" s="310"/>
      <c r="E146" s="310"/>
      <c r="F146" s="319"/>
      <c r="G146" s="319"/>
    </row>
    <row r="147" spans="1:7">
      <c r="A147" s="316" t="s">
        <v>1946</v>
      </c>
      <c r="B147" s="673" t="s">
        <v>2819</v>
      </c>
      <c r="C147" s="296" t="s">
        <v>2820</v>
      </c>
      <c r="D147" s="310"/>
      <c r="E147" s="310"/>
      <c r="F147" s="319"/>
      <c r="G147" s="319"/>
    </row>
    <row r="148" spans="1:7">
      <c r="A148" s="316" t="s">
        <v>1948</v>
      </c>
      <c r="B148" s="673" t="s">
        <v>2821</v>
      </c>
      <c r="C148" s="296" t="s">
        <v>2822</v>
      </c>
      <c r="D148" s="310"/>
      <c r="E148" s="310"/>
      <c r="F148" s="319"/>
      <c r="G148" s="319"/>
    </row>
    <row r="149" spans="1:7" ht="24">
      <c r="A149" s="299">
        <v>6</v>
      </c>
      <c r="B149" s="672">
        <v>100100100100000</v>
      </c>
      <c r="C149" s="300" t="s">
        <v>2823</v>
      </c>
      <c r="D149" s="339"/>
      <c r="E149" s="339" t="str">
        <f>+B148</f>
        <v>ABA020</v>
      </c>
      <c r="F149" s="321">
        <v>47903278.899999999</v>
      </c>
      <c r="G149" s="321">
        <v>37721579.729999997</v>
      </c>
    </row>
    <row r="150" spans="1:7">
      <c r="A150" s="299">
        <v>6</v>
      </c>
      <c r="B150" s="672">
        <v>100100100200000</v>
      </c>
      <c r="C150" s="300" t="s">
        <v>2824</v>
      </c>
      <c r="D150" s="339"/>
      <c r="E150" s="339" t="str">
        <f>+E149</f>
        <v>ABA020</v>
      </c>
      <c r="F150" s="321">
        <v>1042651.2</v>
      </c>
      <c r="G150" s="321">
        <v>330634.93</v>
      </c>
    </row>
    <row r="151" spans="1:7">
      <c r="A151" s="299">
        <v>6</v>
      </c>
      <c r="B151" s="672">
        <v>100100100300000</v>
      </c>
      <c r="C151" s="300" t="s">
        <v>2825</v>
      </c>
      <c r="D151" s="339"/>
      <c r="E151" s="339" t="str">
        <f>+E150</f>
        <v>ABA020</v>
      </c>
      <c r="F151" s="321"/>
      <c r="G151" s="321"/>
    </row>
    <row r="152" spans="1:7">
      <c r="A152" s="316" t="s">
        <v>1948</v>
      </c>
      <c r="B152" s="673" t="s">
        <v>2826</v>
      </c>
      <c r="C152" s="296" t="s">
        <v>2827</v>
      </c>
      <c r="D152" s="310"/>
      <c r="E152" s="310"/>
      <c r="F152" s="319"/>
      <c r="G152" s="319"/>
    </row>
    <row r="153" spans="1:7">
      <c r="A153" s="299" t="s">
        <v>1950</v>
      </c>
      <c r="B153" s="672">
        <v>100100200000000</v>
      </c>
      <c r="C153" s="300" t="s">
        <v>2828</v>
      </c>
      <c r="D153" s="339"/>
      <c r="E153" s="339" t="str">
        <f>+B152</f>
        <v>ABA030</v>
      </c>
      <c r="F153" s="321"/>
      <c r="G153" s="321"/>
    </row>
    <row r="154" spans="1:7">
      <c r="A154" s="316" t="s">
        <v>1948</v>
      </c>
      <c r="B154" s="673" t="s">
        <v>2829</v>
      </c>
      <c r="C154" s="296" t="s">
        <v>2830</v>
      </c>
      <c r="D154" s="310"/>
      <c r="E154" s="310"/>
      <c r="F154" s="319"/>
      <c r="G154" s="319"/>
    </row>
    <row r="155" spans="1:7">
      <c r="A155" s="299">
        <v>6</v>
      </c>
      <c r="B155" s="672">
        <v>100100300100000</v>
      </c>
      <c r="C155" s="300" t="s">
        <v>2831</v>
      </c>
      <c r="D155" s="339"/>
      <c r="E155" s="339" t="str">
        <f>+B154</f>
        <v>ABA040</v>
      </c>
      <c r="F155" s="321">
        <v>11971157.02</v>
      </c>
      <c r="G155" s="321">
        <v>11189592.619999999</v>
      </c>
    </row>
    <row r="156" spans="1:7">
      <c r="A156" s="299">
        <v>6</v>
      </c>
      <c r="B156" s="672">
        <v>100100300200000</v>
      </c>
      <c r="C156" s="300" t="s">
        <v>2832</v>
      </c>
      <c r="D156" s="339"/>
      <c r="E156" s="339" t="str">
        <f>+E155</f>
        <v>ABA040</v>
      </c>
      <c r="F156" s="321">
        <v>1078264.7</v>
      </c>
      <c r="G156" s="321"/>
    </row>
    <row r="157" spans="1:7">
      <c r="A157" s="299">
        <v>6</v>
      </c>
      <c r="B157" s="672">
        <v>100100300300000</v>
      </c>
      <c r="C157" s="300" t="s">
        <v>2833</v>
      </c>
      <c r="D157" s="339"/>
      <c r="E157" s="339" t="str">
        <f>+E156</f>
        <v>ABA040</v>
      </c>
      <c r="F157" s="321">
        <v>521881.38</v>
      </c>
      <c r="G157" s="321">
        <v>385776.75</v>
      </c>
    </row>
    <row r="158" spans="1:7">
      <c r="A158" s="316" t="s">
        <v>1948</v>
      </c>
      <c r="B158" s="673" t="s">
        <v>2834</v>
      </c>
      <c r="C158" s="296" t="s">
        <v>2835</v>
      </c>
      <c r="D158" s="310"/>
      <c r="E158" s="310"/>
      <c r="F158" s="319"/>
      <c r="G158" s="319"/>
    </row>
    <row r="159" spans="1:7">
      <c r="A159" s="299" t="s">
        <v>1950</v>
      </c>
      <c r="B159" s="672">
        <v>100100400000000</v>
      </c>
      <c r="C159" s="300" t="s">
        <v>2836</v>
      </c>
      <c r="D159" s="339"/>
      <c r="E159" s="339" t="str">
        <f>+B158</f>
        <v>ABA050</v>
      </c>
      <c r="F159" s="321">
        <v>457565.91</v>
      </c>
      <c r="G159" s="321">
        <v>354084.91</v>
      </c>
    </row>
    <row r="160" spans="1:7">
      <c r="A160" s="316" t="s">
        <v>1948</v>
      </c>
      <c r="B160" s="673" t="s">
        <v>2837</v>
      </c>
      <c r="C160" s="296" t="s">
        <v>2838</v>
      </c>
      <c r="D160" s="310"/>
      <c r="E160" s="310"/>
      <c r="F160" s="319"/>
      <c r="G160" s="319"/>
    </row>
    <row r="161" spans="1:7">
      <c r="A161" s="299" t="s">
        <v>1950</v>
      </c>
      <c r="B161" s="672">
        <v>100100500000000</v>
      </c>
      <c r="C161" s="300" t="s">
        <v>2839</v>
      </c>
      <c r="D161" s="339"/>
      <c r="E161" s="339" t="str">
        <f>+B160</f>
        <v>ABA060</v>
      </c>
      <c r="F161" s="321">
        <v>1411280.69</v>
      </c>
      <c r="G161" s="321">
        <v>1350019.01</v>
      </c>
    </row>
    <row r="162" spans="1:7">
      <c r="A162" s="316" t="s">
        <v>1948</v>
      </c>
      <c r="B162" s="673" t="s">
        <v>2840</v>
      </c>
      <c r="C162" s="296" t="s">
        <v>2841</v>
      </c>
      <c r="D162" s="310"/>
      <c r="E162" s="310"/>
      <c r="F162" s="319"/>
      <c r="G162" s="319"/>
    </row>
    <row r="163" spans="1:7">
      <c r="A163" s="299" t="s">
        <v>1950</v>
      </c>
      <c r="B163" s="672">
        <v>100100600000000</v>
      </c>
      <c r="C163" s="300" t="s">
        <v>2842</v>
      </c>
      <c r="D163" s="339"/>
      <c r="E163" s="339" t="str">
        <f>+B162</f>
        <v>ABA070</v>
      </c>
      <c r="F163" s="321">
        <v>10347.68</v>
      </c>
      <c r="G163" s="321"/>
    </row>
    <row r="164" spans="1:7">
      <c r="A164" s="316" t="s">
        <v>1948</v>
      </c>
      <c r="B164" s="673" t="s">
        <v>2843</v>
      </c>
      <c r="C164" s="296" t="s">
        <v>2844</v>
      </c>
      <c r="D164" s="310"/>
      <c r="E164" s="310"/>
      <c r="F164" s="319"/>
      <c r="G164" s="319"/>
    </row>
    <row r="165" spans="1:7">
      <c r="A165" s="299" t="s">
        <v>1950</v>
      </c>
      <c r="B165" s="672">
        <v>100100700000000</v>
      </c>
      <c r="C165" s="300" t="s">
        <v>2845</v>
      </c>
      <c r="D165" s="339"/>
      <c r="E165" s="339" t="str">
        <f>+B164</f>
        <v>ABA080</v>
      </c>
      <c r="F165" s="321">
        <v>35986.22</v>
      </c>
      <c r="G165" s="321">
        <v>7277.27</v>
      </c>
    </row>
    <row r="166" spans="1:7">
      <c r="A166" s="316" t="s">
        <v>1948</v>
      </c>
      <c r="B166" s="673" t="s">
        <v>2846</v>
      </c>
      <c r="C166" s="296" t="s">
        <v>2847</v>
      </c>
      <c r="D166" s="310"/>
      <c r="E166" s="310"/>
      <c r="F166" s="319"/>
      <c r="G166" s="319"/>
    </row>
    <row r="167" spans="1:7">
      <c r="A167" s="299" t="s">
        <v>1950</v>
      </c>
      <c r="B167" s="672">
        <v>100100800000000</v>
      </c>
      <c r="C167" s="300" t="s">
        <v>2848</v>
      </c>
      <c r="D167" s="339"/>
      <c r="E167" s="339" t="str">
        <f>+B166</f>
        <v>ABA090</v>
      </c>
      <c r="F167" s="321">
        <v>162894.51999999999</v>
      </c>
      <c r="G167" s="321">
        <v>480811.63</v>
      </c>
    </row>
    <row r="168" spans="1:7">
      <c r="A168" s="316" t="s">
        <v>1948</v>
      </c>
      <c r="B168" s="673" t="s">
        <v>2849</v>
      </c>
      <c r="C168" s="296" t="s">
        <v>2850</v>
      </c>
      <c r="D168" s="310"/>
      <c r="E168" s="310"/>
      <c r="F168" s="319"/>
      <c r="G168" s="319"/>
    </row>
    <row r="169" spans="1:7">
      <c r="A169" s="299" t="s">
        <v>1950</v>
      </c>
      <c r="B169" s="672">
        <v>100100900000000</v>
      </c>
      <c r="C169" s="300" t="s">
        <v>2851</v>
      </c>
      <c r="D169" s="339"/>
      <c r="E169" s="339" t="str">
        <f>+B168</f>
        <v>ABA100</v>
      </c>
      <c r="F169" s="321"/>
      <c r="G169" s="321"/>
    </row>
    <row r="170" spans="1:7">
      <c r="A170" s="316" t="s">
        <v>1946</v>
      </c>
      <c r="B170" s="673" t="s">
        <v>2852</v>
      </c>
      <c r="C170" s="296" t="s">
        <v>2853</v>
      </c>
      <c r="D170" s="310"/>
      <c r="E170" s="310"/>
      <c r="F170" s="319"/>
      <c r="G170" s="319"/>
    </row>
    <row r="171" spans="1:7">
      <c r="A171" s="316" t="s">
        <v>1948</v>
      </c>
      <c r="B171" s="673" t="s">
        <v>2854</v>
      </c>
      <c r="C171" s="296" t="s">
        <v>2855</v>
      </c>
      <c r="D171" s="310"/>
      <c r="E171" s="310"/>
      <c r="F171" s="319"/>
      <c r="G171" s="319"/>
    </row>
    <row r="172" spans="1:7">
      <c r="A172" s="299" t="s">
        <v>1950</v>
      </c>
      <c r="B172" s="672">
        <v>100200100000000</v>
      </c>
      <c r="C172" s="300" t="s">
        <v>2856</v>
      </c>
      <c r="D172" s="339"/>
      <c r="E172" s="339" t="str">
        <f>+B171</f>
        <v>ABA120</v>
      </c>
      <c r="F172" s="321">
        <v>8699.36</v>
      </c>
      <c r="G172" s="321">
        <v>8474.9</v>
      </c>
    </row>
    <row r="173" spans="1:7">
      <c r="A173" s="316" t="s">
        <v>1948</v>
      </c>
      <c r="B173" s="673" t="s">
        <v>2857</v>
      </c>
      <c r="C173" s="296" t="s">
        <v>2858</v>
      </c>
      <c r="D173" s="310"/>
      <c r="E173" s="310"/>
      <c r="F173" s="319"/>
      <c r="G173" s="319"/>
    </row>
    <row r="174" spans="1:7">
      <c r="A174" s="299" t="s">
        <v>1950</v>
      </c>
      <c r="B174" s="672">
        <v>100200200000000</v>
      </c>
      <c r="C174" s="300" t="s">
        <v>2859</v>
      </c>
      <c r="D174" s="339"/>
      <c r="E174" s="339" t="str">
        <f>+B173</f>
        <v>ABA130</v>
      </c>
      <c r="F174" s="321">
        <v>1153868.5</v>
      </c>
      <c r="G174" s="321">
        <v>1565485</v>
      </c>
    </row>
    <row r="175" spans="1:7">
      <c r="A175" s="316" t="s">
        <v>1948</v>
      </c>
      <c r="B175" s="673" t="s">
        <v>2860</v>
      </c>
      <c r="C175" s="296" t="s">
        <v>2861</v>
      </c>
      <c r="D175" s="310"/>
      <c r="E175" s="310"/>
      <c r="F175" s="319"/>
      <c r="G175" s="319"/>
    </row>
    <row r="176" spans="1:7">
      <c r="A176" s="299" t="s">
        <v>1950</v>
      </c>
      <c r="B176" s="672">
        <v>100200300000000</v>
      </c>
      <c r="C176" s="300" t="s">
        <v>2862</v>
      </c>
      <c r="D176" s="339"/>
      <c r="E176" s="339" t="str">
        <f>+B175</f>
        <v>ABA140</v>
      </c>
      <c r="F176" s="321"/>
      <c r="G176" s="321"/>
    </row>
    <row r="177" spans="1:8">
      <c r="A177" s="316" t="s">
        <v>1948</v>
      </c>
      <c r="B177" s="673" t="s">
        <v>2863</v>
      </c>
      <c r="C177" s="296" t="s">
        <v>2864</v>
      </c>
      <c r="D177" s="310"/>
      <c r="E177" s="310"/>
      <c r="F177" s="319"/>
      <c r="G177" s="319"/>
    </row>
    <row r="178" spans="1:8">
      <c r="A178" s="299" t="s">
        <v>1950</v>
      </c>
      <c r="B178" s="672">
        <v>100200400000000</v>
      </c>
      <c r="C178" s="300" t="s">
        <v>2865</v>
      </c>
      <c r="D178" s="339"/>
      <c r="E178" s="339" t="str">
        <f>+B177</f>
        <v>ABA150</v>
      </c>
      <c r="F178" s="321">
        <v>185827.26</v>
      </c>
      <c r="G178" s="321">
        <v>193253.36</v>
      </c>
    </row>
    <row r="179" spans="1:8">
      <c r="A179" s="316" t="s">
        <v>1948</v>
      </c>
      <c r="B179" s="673" t="s">
        <v>2866</v>
      </c>
      <c r="C179" s="296" t="s">
        <v>2867</v>
      </c>
      <c r="D179" s="310"/>
      <c r="E179" s="310"/>
      <c r="F179" s="319"/>
      <c r="G179" s="319"/>
    </row>
    <row r="180" spans="1:8">
      <c r="A180" s="299" t="s">
        <v>1950</v>
      </c>
      <c r="B180" s="672">
        <v>100200500000000</v>
      </c>
      <c r="C180" s="300" t="s">
        <v>2868</v>
      </c>
      <c r="D180" s="339"/>
      <c r="E180" s="339" t="str">
        <f>+B179</f>
        <v>ABA160</v>
      </c>
      <c r="F180" s="321">
        <v>16591.13</v>
      </c>
      <c r="G180" s="321">
        <v>38.5</v>
      </c>
    </row>
    <row r="181" spans="1:8">
      <c r="A181" s="316" t="s">
        <v>1948</v>
      </c>
      <c r="B181" s="673" t="s">
        <v>2869</v>
      </c>
      <c r="C181" s="296" t="s">
        <v>2870</v>
      </c>
      <c r="D181" s="310"/>
      <c r="E181" s="310"/>
      <c r="F181" s="319"/>
      <c r="G181" s="319"/>
    </row>
    <row r="182" spans="1:8">
      <c r="A182" s="299" t="s">
        <v>1950</v>
      </c>
      <c r="B182" s="672">
        <v>100200600000000</v>
      </c>
      <c r="C182" s="300" t="s">
        <v>2871</v>
      </c>
      <c r="D182" s="339"/>
      <c r="E182" s="339" t="str">
        <f>+B181</f>
        <v>ABA170</v>
      </c>
      <c r="F182" s="321">
        <v>6216.62</v>
      </c>
      <c r="G182" s="321">
        <v>10061.74</v>
      </c>
    </row>
    <row r="183" spans="1:8">
      <c r="A183" s="316" t="s">
        <v>1951</v>
      </c>
      <c r="B183" s="673" t="s">
        <v>2872</v>
      </c>
      <c r="C183" s="296" t="s">
        <v>2873</v>
      </c>
      <c r="D183" s="310"/>
      <c r="E183" s="310"/>
      <c r="F183" s="319"/>
      <c r="G183" s="319"/>
    </row>
    <row r="184" spans="1:8">
      <c r="A184" s="299" t="s">
        <v>1951</v>
      </c>
      <c r="B184" s="672">
        <v>100200700000000</v>
      </c>
      <c r="C184" s="300" t="s">
        <v>2874</v>
      </c>
      <c r="D184" s="339"/>
      <c r="E184" s="339" t="str">
        <f>+B183</f>
        <v>ABA180</v>
      </c>
      <c r="F184" s="321"/>
      <c r="G184" s="321"/>
    </row>
    <row r="185" spans="1:8">
      <c r="A185" s="316" t="s">
        <v>1944</v>
      </c>
      <c r="B185" s="673" t="s">
        <v>2875</v>
      </c>
      <c r="C185" s="296" t="s">
        <v>2876</v>
      </c>
      <c r="D185" s="310"/>
      <c r="E185" s="310"/>
      <c r="F185" s="319"/>
      <c r="G185" s="319"/>
    </row>
    <row r="186" spans="1:8">
      <c r="A186" s="316" t="s">
        <v>1946</v>
      </c>
      <c r="B186" s="673" t="s">
        <v>2877</v>
      </c>
      <c r="C186" s="296" t="s">
        <v>2878</v>
      </c>
      <c r="D186" s="310"/>
      <c r="E186" s="310"/>
      <c r="F186" s="319"/>
      <c r="G186" s="319"/>
    </row>
    <row r="187" spans="1:8">
      <c r="A187" s="316" t="s">
        <v>1948</v>
      </c>
      <c r="B187" s="673" t="s">
        <v>2879</v>
      </c>
      <c r="C187" s="296" t="s">
        <v>2880</v>
      </c>
      <c r="D187" s="310"/>
      <c r="E187" s="310"/>
      <c r="F187" s="319"/>
      <c r="G187" s="319"/>
    </row>
    <row r="188" spans="1:8">
      <c r="A188" s="299">
        <v>6</v>
      </c>
      <c r="B188" s="672">
        <v>110100050000000</v>
      </c>
      <c r="C188" s="300" t="s">
        <v>2881</v>
      </c>
      <c r="D188" s="339"/>
      <c r="E188" s="339" t="str">
        <f>+B187</f>
        <v>ABA201</v>
      </c>
      <c r="F188" s="321"/>
      <c r="G188" s="321"/>
    </row>
    <row r="189" spans="1:8">
      <c r="A189" s="299" t="s">
        <v>1950</v>
      </c>
      <c r="B189" s="672">
        <v>210500200000000</v>
      </c>
      <c r="C189" s="300" t="s">
        <v>2882</v>
      </c>
      <c r="D189" s="339"/>
      <c r="E189" s="339" t="str">
        <f>+E188</f>
        <v>ABA201</v>
      </c>
      <c r="F189" s="321"/>
      <c r="G189" s="321"/>
      <c r="H189" t="s">
        <v>3708</v>
      </c>
    </row>
    <row r="190" spans="1:8">
      <c r="A190" s="316" t="s">
        <v>1948</v>
      </c>
      <c r="B190" s="673" t="s">
        <v>2883</v>
      </c>
      <c r="C190" s="296" t="s">
        <v>2884</v>
      </c>
      <c r="D190" s="310"/>
      <c r="E190" s="310"/>
      <c r="F190" s="319"/>
      <c r="G190" s="319"/>
    </row>
    <row r="191" spans="1:8">
      <c r="A191" s="299">
        <v>6</v>
      </c>
      <c r="B191" s="672">
        <v>110100100000000</v>
      </c>
      <c r="C191" s="300" t="s">
        <v>2885</v>
      </c>
      <c r="D191" s="339"/>
      <c r="E191" s="339" t="str">
        <f>+B190</f>
        <v>ABA220</v>
      </c>
      <c r="F191" s="321"/>
      <c r="G191" s="321"/>
    </row>
    <row r="192" spans="1:8">
      <c r="A192" s="299" t="s">
        <v>1950</v>
      </c>
      <c r="B192" s="672">
        <v>210500201000000</v>
      </c>
      <c r="C192" s="300" t="s">
        <v>2886</v>
      </c>
      <c r="D192" s="339"/>
      <c r="E192" s="339" t="str">
        <f>+E191</f>
        <v>ABA220</v>
      </c>
      <c r="F192" s="321"/>
      <c r="G192" s="321"/>
      <c r="H192" t="s">
        <v>3708</v>
      </c>
    </row>
    <row r="193" spans="1:8">
      <c r="A193" s="316" t="s">
        <v>1948</v>
      </c>
      <c r="B193" s="673" t="s">
        <v>2887</v>
      </c>
      <c r="C193" s="296" t="s">
        <v>2888</v>
      </c>
      <c r="D193" s="310"/>
      <c r="E193" s="310"/>
      <c r="F193" s="319"/>
      <c r="G193" s="319"/>
    </row>
    <row r="194" spans="1:8">
      <c r="A194" s="299">
        <v>6</v>
      </c>
      <c r="B194" s="672">
        <v>110100200000000</v>
      </c>
      <c r="C194" s="300" t="s">
        <v>2889</v>
      </c>
      <c r="D194" s="339"/>
      <c r="E194" s="339" t="str">
        <f>+B193</f>
        <v>ABA230</v>
      </c>
      <c r="F194" s="321"/>
      <c r="G194" s="321"/>
    </row>
    <row r="195" spans="1:8">
      <c r="A195" s="299" t="s">
        <v>1950</v>
      </c>
      <c r="B195" s="672">
        <v>210500202000000</v>
      </c>
      <c r="C195" s="300" t="s">
        <v>2890</v>
      </c>
      <c r="D195" s="339"/>
      <c r="E195" s="339" t="str">
        <f>+E194</f>
        <v>ABA230</v>
      </c>
      <c r="F195" s="321"/>
      <c r="G195" s="321"/>
      <c r="H195" t="s">
        <v>3708</v>
      </c>
    </row>
    <row r="196" spans="1:8">
      <c r="A196" s="316" t="s">
        <v>1948</v>
      </c>
      <c r="B196" s="673" t="s">
        <v>2891</v>
      </c>
      <c r="C196" s="296" t="s">
        <v>2892</v>
      </c>
      <c r="D196" s="310"/>
      <c r="E196" s="310"/>
      <c r="F196" s="319"/>
      <c r="G196" s="319"/>
    </row>
    <row r="197" spans="1:8">
      <c r="A197" s="299">
        <v>6</v>
      </c>
      <c r="B197" s="672">
        <v>110100300000000</v>
      </c>
      <c r="C197" s="300" t="s">
        <v>2893</v>
      </c>
      <c r="D197" s="339"/>
      <c r="E197" s="339" t="str">
        <f>+B196</f>
        <v>ABA240</v>
      </c>
      <c r="F197" s="321"/>
      <c r="G197" s="321"/>
    </row>
    <row r="198" spans="1:8">
      <c r="A198" s="299" t="s">
        <v>1950</v>
      </c>
      <c r="B198" s="672">
        <v>210500203000000</v>
      </c>
      <c r="C198" s="300" t="s">
        <v>2894</v>
      </c>
      <c r="D198" s="339"/>
      <c r="E198" s="339" t="str">
        <f>+E197</f>
        <v>ABA240</v>
      </c>
      <c r="F198" s="321"/>
      <c r="G198" s="321"/>
      <c r="H198" t="s">
        <v>3708</v>
      </c>
    </row>
    <row r="199" spans="1:8" ht="25.5">
      <c r="A199" s="316" t="s">
        <v>1948</v>
      </c>
      <c r="B199" s="673" t="s">
        <v>2895</v>
      </c>
      <c r="C199" s="296" t="s">
        <v>2896</v>
      </c>
      <c r="D199" s="310"/>
      <c r="E199" s="310"/>
      <c r="F199" s="319"/>
      <c r="G199" s="319"/>
    </row>
    <row r="200" spans="1:8">
      <c r="A200" s="299">
        <v>6</v>
      </c>
      <c r="B200" s="672">
        <v>110100400000000</v>
      </c>
      <c r="C200" s="300" t="s">
        <v>2897</v>
      </c>
      <c r="D200" s="339"/>
      <c r="E200" s="339" t="str">
        <f>+B199</f>
        <v>ABA250</v>
      </c>
      <c r="F200" s="321"/>
      <c r="G200" s="321"/>
    </row>
    <row r="201" spans="1:8" ht="24">
      <c r="A201" s="299" t="s">
        <v>1950</v>
      </c>
      <c r="B201" s="672">
        <v>210500204000000</v>
      </c>
      <c r="C201" s="300" t="s">
        <v>2898</v>
      </c>
      <c r="D201" s="339"/>
      <c r="E201" s="339" t="str">
        <f>+E200</f>
        <v>ABA250</v>
      </c>
      <c r="F201" s="321"/>
      <c r="G201" s="321"/>
      <c r="H201" t="s">
        <v>3708</v>
      </c>
    </row>
    <row r="202" spans="1:8">
      <c r="A202" s="316" t="s">
        <v>1948</v>
      </c>
      <c r="B202" s="673" t="s">
        <v>2899</v>
      </c>
      <c r="C202" s="296" t="s">
        <v>2900</v>
      </c>
      <c r="D202" s="310"/>
      <c r="E202" s="310"/>
      <c r="F202" s="319"/>
      <c r="G202" s="319"/>
    </row>
    <row r="203" spans="1:8">
      <c r="A203" s="299">
        <v>6</v>
      </c>
      <c r="B203" s="672">
        <v>110100500000000</v>
      </c>
      <c r="C203" s="300" t="s">
        <v>2901</v>
      </c>
      <c r="D203" s="339"/>
      <c r="E203" s="339" t="str">
        <f>+B202</f>
        <v>ABA260</v>
      </c>
      <c r="F203" s="321"/>
      <c r="G203" s="321"/>
    </row>
    <row r="204" spans="1:8" ht="24">
      <c r="A204" s="299" t="s">
        <v>1950</v>
      </c>
      <c r="B204" s="672">
        <v>210500205000000</v>
      </c>
      <c r="C204" s="300" t="s">
        <v>2902</v>
      </c>
      <c r="D204" s="339"/>
      <c r="E204" s="339" t="str">
        <f>+E203</f>
        <v>ABA260</v>
      </c>
      <c r="F204" s="321"/>
      <c r="G204" s="321"/>
      <c r="H204" t="s">
        <v>3708</v>
      </c>
    </row>
    <row r="205" spans="1:8">
      <c r="A205" s="316" t="s">
        <v>1948</v>
      </c>
      <c r="B205" s="673" t="s">
        <v>2903</v>
      </c>
      <c r="C205" s="296" t="s">
        <v>2904</v>
      </c>
      <c r="D205" s="310"/>
      <c r="E205" s="310"/>
      <c r="F205" s="319"/>
      <c r="G205" s="319"/>
    </row>
    <row r="206" spans="1:8">
      <c r="A206" s="299">
        <v>6</v>
      </c>
      <c r="B206" s="672">
        <v>110100600100000</v>
      </c>
      <c r="C206" s="300" t="s">
        <v>2905</v>
      </c>
      <c r="D206" s="339"/>
      <c r="E206" s="339" t="str">
        <f>+B205</f>
        <v>ABA270</v>
      </c>
      <c r="F206" s="321"/>
      <c r="G206" s="321"/>
    </row>
    <row r="207" spans="1:8">
      <c r="A207" s="299">
        <v>6</v>
      </c>
      <c r="B207" s="672">
        <v>110100600800000</v>
      </c>
      <c r="C207" s="300" t="s">
        <v>2906</v>
      </c>
      <c r="D207" s="339"/>
      <c r="E207" s="339" t="str">
        <f>+E206</f>
        <v>ABA270</v>
      </c>
      <c r="F207" s="321">
        <v>0</v>
      </c>
      <c r="G207" s="321">
        <v>0.01</v>
      </c>
    </row>
    <row r="208" spans="1:8">
      <c r="A208" s="299">
        <v>6</v>
      </c>
      <c r="B208" s="672">
        <v>110100600900000</v>
      </c>
      <c r="C208" s="300" t="s">
        <v>2907</v>
      </c>
      <c r="D208" s="339"/>
      <c r="E208" s="339" t="str">
        <f>+E207</f>
        <v>ABA270</v>
      </c>
      <c r="F208" s="321"/>
      <c r="G208" s="321"/>
    </row>
    <row r="209" spans="1:8">
      <c r="A209" s="299" t="s">
        <v>1950</v>
      </c>
      <c r="B209" s="672">
        <v>210500206000000</v>
      </c>
      <c r="C209" s="300" t="s">
        <v>2908</v>
      </c>
      <c r="D209" s="339"/>
      <c r="E209" s="339" t="str">
        <f>+E208</f>
        <v>ABA270</v>
      </c>
      <c r="F209" s="321"/>
      <c r="G209" s="321"/>
      <c r="H209" t="s">
        <v>3708</v>
      </c>
    </row>
    <row r="210" spans="1:8">
      <c r="A210" s="316" t="s">
        <v>1948</v>
      </c>
      <c r="B210" s="673" t="s">
        <v>2909</v>
      </c>
      <c r="C210" s="296" t="s">
        <v>2910</v>
      </c>
      <c r="D210" s="310"/>
      <c r="E210" s="310"/>
      <c r="F210" s="319"/>
      <c r="G210" s="319"/>
    </row>
    <row r="211" spans="1:8">
      <c r="A211" s="299">
        <v>6</v>
      </c>
      <c r="B211" s="672">
        <v>110100650000000</v>
      </c>
      <c r="C211" s="300" t="s">
        <v>2911</v>
      </c>
      <c r="D211" s="339"/>
      <c r="E211" s="339" t="str">
        <f>+B210</f>
        <v>ABA271</v>
      </c>
      <c r="F211" s="321"/>
      <c r="G211" s="321"/>
    </row>
    <row r="212" spans="1:8" ht="24">
      <c r="A212" s="299" t="s">
        <v>1950</v>
      </c>
      <c r="B212" s="672">
        <v>210500212000000</v>
      </c>
      <c r="C212" s="300" t="s">
        <v>2912</v>
      </c>
      <c r="D212" s="339"/>
      <c r="E212" s="339" t="str">
        <f>+E211</f>
        <v>ABA271</v>
      </c>
      <c r="F212" s="321"/>
      <c r="G212" s="321"/>
      <c r="H212" t="s">
        <v>3708</v>
      </c>
    </row>
    <row r="213" spans="1:8">
      <c r="A213" s="316" t="s">
        <v>1948</v>
      </c>
      <c r="B213" s="673" t="s">
        <v>2913</v>
      </c>
      <c r="C213" s="296" t="s">
        <v>2914</v>
      </c>
      <c r="D213" s="310"/>
      <c r="E213" s="310"/>
      <c r="F213" s="319"/>
      <c r="G213" s="319"/>
    </row>
    <row r="214" spans="1:8">
      <c r="A214" s="299">
        <v>6</v>
      </c>
      <c r="B214" s="672">
        <v>110100700000000</v>
      </c>
      <c r="C214" s="300" t="s">
        <v>2915</v>
      </c>
      <c r="D214" s="339"/>
      <c r="E214" s="339" t="str">
        <f>+B213</f>
        <v>ABA280</v>
      </c>
      <c r="F214" s="321"/>
      <c r="G214" s="321"/>
    </row>
    <row r="215" spans="1:8">
      <c r="A215" s="299" t="s">
        <v>1950</v>
      </c>
      <c r="B215" s="672">
        <v>210500207000000</v>
      </c>
      <c r="C215" s="300" t="s">
        <v>2916</v>
      </c>
      <c r="D215" s="339"/>
      <c r="E215" s="339" t="str">
        <f>+E214</f>
        <v>ABA280</v>
      </c>
      <c r="F215" s="321"/>
      <c r="G215" s="321"/>
      <c r="H215" t="s">
        <v>3708</v>
      </c>
    </row>
    <row r="216" spans="1:8">
      <c r="A216" s="316" t="s">
        <v>1948</v>
      </c>
      <c r="B216" s="673" t="s">
        <v>2917</v>
      </c>
      <c r="C216" s="296" t="s">
        <v>2918</v>
      </c>
      <c r="D216" s="310"/>
      <c r="E216" s="310"/>
      <c r="F216" s="319"/>
      <c r="G216" s="319"/>
    </row>
    <row r="217" spans="1:8">
      <c r="A217" s="316" t="s">
        <v>1950</v>
      </c>
      <c r="B217" s="673" t="s">
        <v>2919</v>
      </c>
      <c r="C217" s="296" t="s">
        <v>2920</v>
      </c>
      <c r="D217" s="310"/>
      <c r="E217" s="310"/>
      <c r="F217" s="319"/>
      <c r="G217" s="319"/>
    </row>
    <row r="218" spans="1:8">
      <c r="A218" s="299">
        <v>7</v>
      </c>
      <c r="B218" s="672">
        <v>110100800100000</v>
      </c>
      <c r="C218" s="300" t="s">
        <v>2921</v>
      </c>
      <c r="D218" s="339"/>
      <c r="E218" s="339" t="str">
        <f>+B217</f>
        <v>ABA300</v>
      </c>
      <c r="F218" s="321"/>
      <c r="G218" s="321"/>
    </row>
    <row r="219" spans="1:8" ht="24">
      <c r="A219" s="299" t="s">
        <v>1951</v>
      </c>
      <c r="B219" s="672">
        <v>210500208000000</v>
      </c>
      <c r="C219" s="300" t="s">
        <v>2922</v>
      </c>
      <c r="D219" s="339"/>
      <c r="E219" s="339" t="str">
        <f>+E218</f>
        <v>ABA300</v>
      </c>
      <c r="F219" s="321"/>
      <c r="G219" s="321"/>
      <c r="H219" t="s">
        <v>3708</v>
      </c>
    </row>
    <row r="220" spans="1:8">
      <c r="A220" s="316" t="s">
        <v>1950</v>
      </c>
      <c r="B220" s="673" t="s">
        <v>2923</v>
      </c>
      <c r="C220" s="296" t="s">
        <v>2924</v>
      </c>
      <c r="D220" s="310"/>
      <c r="E220" s="310"/>
      <c r="F220" s="319"/>
      <c r="G220" s="319"/>
    </row>
    <row r="221" spans="1:8">
      <c r="A221" s="299">
        <v>7</v>
      </c>
      <c r="B221" s="672">
        <v>110100800200000</v>
      </c>
      <c r="C221" s="300" t="s">
        <v>2925</v>
      </c>
      <c r="D221" s="339"/>
      <c r="E221" s="339" t="str">
        <f>+B220</f>
        <v>ABA310</v>
      </c>
      <c r="F221" s="321"/>
      <c r="G221" s="321"/>
    </row>
    <row r="222" spans="1:8" ht="24">
      <c r="A222" s="299" t="s">
        <v>1951</v>
      </c>
      <c r="B222" s="672">
        <v>210500209000000</v>
      </c>
      <c r="C222" s="300" t="s">
        <v>2926</v>
      </c>
      <c r="D222" s="339"/>
      <c r="E222" s="339" t="str">
        <f>+E221</f>
        <v>ABA310</v>
      </c>
      <c r="F222" s="321"/>
      <c r="G222" s="321"/>
      <c r="H222" t="s">
        <v>3708</v>
      </c>
    </row>
    <row r="223" spans="1:8">
      <c r="A223" s="316" t="s">
        <v>1950</v>
      </c>
      <c r="B223" s="673" t="s">
        <v>2927</v>
      </c>
      <c r="C223" s="296" t="s">
        <v>2928</v>
      </c>
      <c r="D223" s="310"/>
      <c r="E223" s="310"/>
      <c r="F223" s="319"/>
      <c r="G223" s="319"/>
    </row>
    <row r="224" spans="1:8">
      <c r="A224" s="299">
        <v>7</v>
      </c>
      <c r="B224" s="672">
        <v>110100800301000</v>
      </c>
      <c r="C224" s="300" t="s">
        <v>2929</v>
      </c>
      <c r="D224" s="339"/>
      <c r="E224" s="339" t="str">
        <f>+B223</f>
        <v>ABA320</v>
      </c>
      <c r="F224" s="321"/>
      <c r="G224" s="321"/>
    </row>
    <row r="225" spans="1:8">
      <c r="A225" s="299">
        <v>7</v>
      </c>
      <c r="B225" s="672">
        <v>110100800302000</v>
      </c>
      <c r="C225" s="300" t="s">
        <v>2930</v>
      </c>
      <c r="D225" s="339"/>
      <c r="E225" s="339" t="str">
        <f>+E224</f>
        <v>ABA320</v>
      </c>
      <c r="F225" s="321"/>
      <c r="G225" s="321"/>
    </row>
    <row r="226" spans="1:8">
      <c r="A226" s="299">
        <v>7</v>
      </c>
      <c r="B226" s="672">
        <v>110100800309000</v>
      </c>
      <c r="C226" s="300" t="s">
        <v>2931</v>
      </c>
      <c r="D226" s="339"/>
      <c r="E226" s="339" t="str">
        <f>+E225</f>
        <v>ABA320</v>
      </c>
      <c r="F226" s="321">
        <v>0</v>
      </c>
      <c r="G226" s="321"/>
    </row>
    <row r="227" spans="1:8" ht="24">
      <c r="A227" s="299" t="s">
        <v>1951</v>
      </c>
      <c r="B227" s="672">
        <v>210500210000000</v>
      </c>
      <c r="C227" s="300" t="s">
        <v>2932</v>
      </c>
      <c r="D227" s="339"/>
      <c r="E227" s="339" t="str">
        <f>+E226</f>
        <v>ABA320</v>
      </c>
      <c r="F227" s="321"/>
      <c r="G227" s="321"/>
      <c r="H227" t="s">
        <v>3708</v>
      </c>
    </row>
    <row r="228" spans="1:8">
      <c r="A228" s="316" t="s">
        <v>1950</v>
      </c>
      <c r="B228" s="673" t="s">
        <v>2933</v>
      </c>
      <c r="C228" s="296" t="s">
        <v>2934</v>
      </c>
      <c r="D228" s="310"/>
      <c r="E228" s="310"/>
      <c r="F228" s="319"/>
      <c r="G228" s="319"/>
    </row>
    <row r="229" spans="1:8">
      <c r="A229" s="299">
        <v>7</v>
      </c>
      <c r="B229" s="672">
        <v>110100800400000</v>
      </c>
      <c r="C229" s="300" t="s">
        <v>2935</v>
      </c>
      <c r="D229" s="339"/>
      <c r="E229" s="339" t="str">
        <f>+B228</f>
        <v>ABA330</v>
      </c>
      <c r="F229" s="321"/>
      <c r="G229" s="321"/>
    </row>
    <row r="230" spans="1:8" ht="24">
      <c r="A230" s="299" t="s">
        <v>1951</v>
      </c>
      <c r="B230" s="672">
        <v>210500211000000</v>
      </c>
      <c r="C230" s="300" t="s">
        <v>2936</v>
      </c>
      <c r="D230" s="339"/>
      <c r="E230" s="339" t="str">
        <f>+E229</f>
        <v>ABA330</v>
      </c>
      <c r="F230" s="321"/>
      <c r="G230" s="321"/>
      <c r="H230" t="s">
        <v>3708</v>
      </c>
    </row>
    <row r="231" spans="1:8">
      <c r="A231" s="316" t="s">
        <v>1948</v>
      </c>
      <c r="B231" s="673" t="s">
        <v>2937</v>
      </c>
      <c r="C231" s="296" t="s">
        <v>2938</v>
      </c>
      <c r="D231" s="310"/>
      <c r="E231" s="310"/>
      <c r="F231" s="319"/>
      <c r="G231" s="319"/>
    </row>
    <row r="232" spans="1:8">
      <c r="A232" s="299">
        <v>6</v>
      </c>
      <c r="B232" s="672">
        <v>110100900100000</v>
      </c>
      <c r="C232" s="300" t="s">
        <v>2939</v>
      </c>
      <c r="D232" s="339"/>
      <c r="E232" s="339" t="str">
        <f>+B231</f>
        <v>ABA340</v>
      </c>
      <c r="F232" s="321"/>
      <c r="G232" s="321"/>
    </row>
    <row r="233" spans="1:8">
      <c r="A233" s="299">
        <v>6</v>
      </c>
      <c r="B233" s="672">
        <v>110100900800000</v>
      </c>
      <c r="C233" s="300" t="s">
        <v>2940</v>
      </c>
      <c r="D233" s="339"/>
      <c r="E233" s="339" t="str">
        <f>+E232</f>
        <v>ABA340</v>
      </c>
      <c r="F233" s="321"/>
      <c r="G233" s="321"/>
    </row>
    <row r="234" spans="1:8">
      <c r="A234" s="299">
        <v>6</v>
      </c>
      <c r="B234" s="672">
        <v>110100900900000</v>
      </c>
      <c r="C234" s="300" t="s">
        <v>2941</v>
      </c>
      <c r="D234" s="339"/>
      <c r="E234" s="339" t="str">
        <f>+E233</f>
        <v>ABA340</v>
      </c>
      <c r="F234" s="321"/>
      <c r="G234" s="321"/>
    </row>
    <row r="235" spans="1:8">
      <c r="A235" s="299" t="s">
        <v>1950</v>
      </c>
      <c r="B235" s="672">
        <v>210500300000000</v>
      </c>
      <c r="C235" s="300" t="s">
        <v>2942</v>
      </c>
      <c r="D235" s="339"/>
      <c r="E235" s="339" t="str">
        <f>+E234</f>
        <v>ABA340</v>
      </c>
      <c r="F235" s="321"/>
      <c r="G235" s="321"/>
      <c r="H235" t="s">
        <v>3708</v>
      </c>
    </row>
    <row r="236" spans="1:8">
      <c r="A236" s="316" t="s">
        <v>1946</v>
      </c>
      <c r="B236" s="673" t="s">
        <v>2943</v>
      </c>
      <c r="C236" s="296" t="s">
        <v>2944</v>
      </c>
      <c r="D236" s="310"/>
      <c r="E236" s="310"/>
      <c r="F236" s="319"/>
      <c r="G236" s="319"/>
    </row>
    <row r="237" spans="1:8">
      <c r="A237" s="316" t="s">
        <v>1948</v>
      </c>
      <c r="B237" s="673" t="s">
        <v>2945</v>
      </c>
      <c r="C237" s="296" t="s">
        <v>2946</v>
      </c>
      <c r="D237" s="310"/>
      <c r="E237" s="310"/>
      <c r="F237" s="319"/>
      <c r="G237" s="319"/>
    </row>
    <row r="238" spans="1:8">
      <c r="A238" s="316" t="s">
        <v>1950</v>
      </c>
      <c r="B238" s="673" t="s">
        <v>2947</v>
      </c>
      <c r="C238" s="296" t="s">
        <v>2948</v>
      </c>
      <c r="D238" s="310"/>
      <c r="E238" s="310"/>
      <c r="F238" s="319"/>
      <c r="G238" s="319"/>
    </row>
    <row r="239" spans="1:8">
      <c r="A239" s="299">
        <v>7</v>
      </c>
      <c r="B239" s="672">
        <v>110200100200000</v>
      </c>
      <c r="C239" s="300" t="s">
        <v>2949</v>
      </c>
      <c r="D239" s="339"/>
      <c r="E239" s="339" t="str">
        <f>+B238</f>
        <v>ABA390</v>
      </c>
      <c r="F239" s="321">
        <v>0</v>
      </c>
      <c r="G239" s="321"/>
    </row>
    <row r="240" spans="1:8">
      <c r="A240" s="299" t="s">
        <v>1951</v>
      </c>
      <c r="B240" s="672">
        <v>210500402000000</v>
      </c>
      <c r="C240" s="300" t="s">
        <v>2950</v>
      </c>
      <c r="D240" s="339"/>
      <c r="E240" s="339" t="str">
        <f>+E239</f>
        <v>ABA390</v>
      </c>
      <c r="F240" s="321"/>
      <c r="G240" s="321"/>
      <c r="H240" t="s">
        <v>3708</v>
      </c>
    </row>
    <row r="241" spans="1:8" ht="25.5">
      <c r="A241" s="316" t="s">
        <v>1950</v>
      </c>
      <c r="B241" s="673" t="s">
        <v>2951</v>
      </c>
      <c r="C241" s="296" t="s">
        <v>2952</v>
      </c>
      <c r="D241" s="310" t="s">
        <v>1238</v>
      </c>
      <c r="E241" s="310"/>
      <c r="F241" s="319"/>
      <c r="G241" s="319"/>
    </row>
    <row r="242" spans="1:8">
      <c r="A242" s="299">
        <v>7</v>
      </c>
      <c r="B242" s="672">
        <v>110200100300000</v>
      </c>
      <c r="C242" s="300" t="s">
        <v>2953</v>
      </c>
      <c r="D242" s="339" t="s">
        <v>1238</v>
      </c>
      <c r="E242" s="339" t="str">
        <f>+B241</f>
        <v>ABA400</v>
      </c>
      <c r="F242" s="321"/>
      <c r="G242" s="321"/>
    </row>
    <row r="243" spans="1:8" ht="24">
      <c r="A243" s="299" t="s">
        <v>1951</v>
      </c>
      <c r="B243" s="672">
        <v>210500403000000</v>
      </c>
      <c r="C243" s="300" t="s">
        <v>2954</v>
      </c>
      <c r="D243" s="339" t="s">
        <v>1238</v>
      </c>
      <c r="E243" s="339" t="str">
        <f>+E242</f>
        <v>ABA400</v>
      </c>
      <c r="F243" s="321"/>
      <c r="G243" s="321"/>
      <c r="H243" t="s">
        <v>3708</v>
      </c>
    </row>
    <row r="244" spans="1:8" ht="25.5">
      <c r="A244" s="316" t="s">
        <v>1950</v>
      </c>
      <c r="B244" s="673" t="s">
        <v>2955</v>
      </c>
      <c r="C244" s="296" t="s">
        <v>2956</v>
      </c>
      <c r="D244" s="310"/>
      <c r="E244" s="310"/>
      <c r="F244" s="319"/>
      <c r="G244" s="319"/>
    </row>
    <row r="245" spans="1:8">
      <c r="A245" s="299">
        <v>7</v>
      </c>
      <c r="B245" s="672">
        <v>110200100400000</v>
      </c>
      <c r="C245" s="300" t="s">
        <v>2957</v>
      </c>
      <c r="D245" s="339"/>
      <c r="E245" s="339" t="str">
        <f>+B244</f>
        <v>ABA410</v>
      </c>
      <c r="F245" s="321"/>
      <c r="G245" s="321"/>
    </row>
    <row r="246" spans="1:8" ht="24">
      <c r="A246" s="299">
        <v>7</v>
      </c>
      <c r="B246" s="672">
        <v>210500404000000</v>
      </c>
      <c r="C246" s="300" t="s">
        <v>2958</v>
      </c>
      <c r="D246" s="339"/>
      <c r="E246" s="339" t="str">
        <f>+E245</f>
        <v>ABA410</v>
      </c>
      <c r="F246" s="321"/>
      <c r="G246" s="321"/>
      <c r="H246" t="s">
        <v>3708</v>
      </c>
    </row>
    <row r="247" spans="1:8" ht="25.5">
      <c r="A247" s="316" t="s">
        <v>1950</v>
      </c>
      <c r="B247" s="673" t="s">
        <v>2959</v>
      </c>
      <c r="C247" s="296" t="s">
        <v>2960</v>
      </c>
      <c r="D247" s="310"/>
      <c r="E247" s="310"/>
      <c r="F247" s="319"/>
      <c r="G247" s="319"/>
    </row>
    <row r="248" spans="1:8">
      <c r="A248" s="299">
        <v>7</v>
      </c>
      <c r="B248" s="672">
        <v>110200100500000</v>
      </c>
      <c r="C248" s="300" t="s">
        <v>2961</v>
      </c>
      <c r="D248" s="339"/>
      <c r="E248" s="339" t="str">
        <f>+B247</f>
        <v>ABA420</v>
      </c>
      <c r="F248" s="321"/>
      <c r="G248" s="321"/>
    </row>
    <row r="249" spans="1:8" ht="24">
      <c r="A249" s="299">
        <v>7</v>
      </c>
      <c r="B249" s="672">
        <v>210500405000000</v>
      </c>
      <c r="C249" s="300" t="s">
        <v>2962</v>
      </c>
      <c r="D249" s="339"/>
      <c r="E249" s="339" t="str">
        <f>+E248</f>
        <v>ABA420</v>
      </c>
      <c r="F249" s="321"/>
      <c r="G249" s="321"/>
      <c r="H249" t="s">
        <v>3708</v>
      </c>
    </row>
    <row r="250" spans="1:8" ht="25.5">
      <c r="A250" s="316" t="s">
        <v>1950</v>
      </c>
      <c r="B250" s="673" t="s">
        <v>2963</v>
      </c>
      <c r="C250" s="296" t="s">
        <v>2964</v>
      </c>
      <c r="D250" s="310"/>
      <c r="E250" s="310"/>
      <c r="F250" s="319"/>
      <c r="G250" s="319"/>
    </row>
    <row r="251" spans="1:8" ht="24">
      <c r="A251" s="299">
        <v>7</v>
      </c>
      <c r="B251" s="672">
        <v>110200100600000</v>
      </c>
      <c r="C251" s="300" t="s">
        <v>2965</v>
      </c>
      <c r="D251" s="339"/>
      <c r="E251" s="339" t="str">
        <f>+B250</f>
        <v>ABA430</v>
      </c>
      <c r="F251" s="321"/>
      <c r="G251" s="321"/>
    </row>
    <row r="252" spans="1:8" ht="24">
      <c r="A252" s="299" t="s">
        <v>1951</v>
      </c>
      <c r="B252" s="672">
        <v>210500406000000</v>
      </c>
      <c r="C252" s="300" t="s">
        <v>2966</v>
      </c>
      <c r="D252" s="339"/>
      <c r="E252" s="339" t="str">
        <f>+E251</f>
        <v>ABA430</v>
      </c>
      <c r="F252" s="321"/>
      <c r="G252" s="321"/>
      <c r="H252" t="s">
        <v>3708</v>
      </c>
    </row>
    <row r="253" spans="1:8" ht="25.5">
      <c r="A253" s="316" t="s">
        <v>1950</v>
      </c>
      <c r="B253" s="673" t="s">
        <v>2967</v>
      </c>
      <c r="C253" s="296" t="s">
        <v>2968</v>
      </c>
      <c r="D253" s="310"/>
      <c r="E253" s="310"/>
      <c r="F253" s="319"/>
      <c r="G253" s="319"/>
    </row>
    <row r="254" spans="1:8" ht="24">
      <c r="A254" s="299">
        <v>7</v>
      </c>
      <c r="B254" s="672">
        <v>110200100700000</v>
      </c>
      <c r="C254" s="300" t="s">
        <v>2969</v>
      </c>
      <c r="D254" s="339"/>
      <c r="E254" s="339" t="str">
        <f>+B253</f>
        <v>ABA440</v>
      </c>
      <c r="F254" s="321"/>
      <c r="G254" s="321"/>
    </row>
    <row r="255" spans="1:8" ht="24">
      <c r="A255" s="299" t="s">
        <v>1951</v>
      </c>
      <c r="B255" s="672">
        <v>210500407000000</v>
      </c>
      <c r="C255" s="300" t="s">
        <v>2970</v>
      </c>
      <c r="D255" s="339"/>
      <c r="E255" s="339" t="str">
        <f>+E254</f>
        <v>ABA440</v>
      </c>
      <c r="F255" s="321"/>
      <c r="G255" s="321"/>
      <c r="H255" t="s">
        <v>3708</v>
      </c>
    </row>
    <row r="256" spans="1:8" ht="25.5">
      <c r="A256" s="316" t="s">
        <v>1950</v>
      </c>
      <c r="B256" s="673" t="s">
        <v>2971</v>
      </c>
      <c r="C256" s="296" t="s">
        <v>2972</v>
      </c>
      <c r="D256" s="310"/>
      <c r="E256" s="310"/>
      <c r="F256" s="319"/>
      <c r="G256" s="319"/>
    </row>
    <row r="257" spans="1:8">
      <c r="A257" s="299">
        <v>7</v>
      </c>
      <c r="B257" s="672">
        <v>110200100801000</v>
      </c>
      <c r="C257" s="300" t="s">
        <v>2973</v>
      </c>
      <c r="D257" s="339"/>
      <c r="E257" s="339" t="str">
        <f>+B256</f>
        <v>ABA450</v>
      </c>
      <c r="F257" s="321">
        <f>2109404.46-9001+2250.25+428034.84+16398.75</f>
        <v>2547087.2999999998</v>
      </c>
      <c r="G257" s="321">
        <v>686919.67</v>
      </c>
    </row>
    <row r="258" spans="1:8" ht="24">
      <c r="A258" s="299">
        <v>7</v>
      </c>
      <c r="B258" s="672">
        <v>110200100808000</v>
      </c>
      <c r="C258" s="300" t="s">
        <v>2974</v>
      </c>
      <c r="D258" s="339"/>
      <c r="E258" s="339" t="str">
        <f>+E257</f>
        <v>ABA450</v>
      </c>
      <c r="F258" s="321"/>
      <c r="G258" s="321"/>
    </row>
    <row r="259" spans="1:8" ht="24">
      <c r="A259" s="299">
        <v>7</v>
      </c>
      <c r="B259" s="672">
        <v>110200100809000</v>
      </c>
      <c r="C259" s="300" t="s">
        <v>2975</v>
      </c>
      <c r="D259" s="339"/>
      <c r="E259" s="339" t="str">
        <f>+E258</f>
        <v>ABA450</v>
      </c>
      <c r="F259" s="321"/>
      <c r="G259" s="321"/>
    </row>
    <row r="260" spans="1:8" ht="24">
      <c r="A260" s="299" t="s">
        <v>1951</v>
      </c>
      <c r="B260" s="672">
        <v>210500408000000</v>
      </c>
      <c r="C260" s="300" t="s">
        <v>2976</v>
      </c>
      <c r="D260" s="339"/>
      <c r="E260" s="339" t="str">
        <f>+E259</f>
        <v>ABA450</v>
      </c>
      <c r="F260" s="321"/>
      <c r="G260" s="321"/>
      <c r="H260" t="s">
        <v>3708</v>
      </c>
    </row>
    <row r="261" spans="1:8" ht="25.5">
      <c r="A261" s="316" t="s">
        <v>1950</v>
      </c>
      <c r="B261" s="673" t="s">
        <v>2977</v>
      </c>
      <c r="C261" s="296" t="s">
        <v>2978</v>
      </c>
      <c r="D261" s="310"/>
      <c r="E261" s="310"/>
      <c r="F261" s="319"/>
      <c r="G261" s="319"/>
    </row>
    <row r="262" spans="1:8" ht="24">
      <c r="A262" s="299">
        <v>7</v>
      </c>
      <c r="B262" s="672">
        <v>110200100850000</v>
      </c>
      <c r="C262" s="300" t="s">
        <v>2979</v>
      </c>
      <c r="D262" s="339"/>
      <c r="E262" s="339" t="str">
        <f>+B261</f>
        <v>ABA451</v>
      </c>
      <c r="F262" s="321"/>
      <c r="G262" s="321"/>
    </row>
    <row r="263" spans="1:8" ht="24">
      <c r="A263" s="299" t="s">
        <v>1951</v>
      </c>
      <c r="B263" s="672">
        <v>210500415000000</v>
      </c>
      <c r="C263" s="300" t="s">
        <v>2980</v>
      </c>
      <c r="D263" s="339"/>
      <c r="E263" s="339" t="str">
        <f>+E262</f>
        <v>ABA451</v>
      </c>
      <c r="F263" s="321"/>
      <c r="G263" s="321"/>
      <c r="H263" t="s">
        <v>3708</v>
      </c>
    </row>
    <row r="264" spans="1:8">
      <c r="A264" s="316" t="s">
        <v>1950</v>
      </c>
      <c r="B264" s="673" t="s">
        <v>2981</v>
      </c>
      <c r="C264" s="296" t="s">
        <v>2982</v>
      </c>
      <c r="D264" s="310"/>
      <c r="E264" s="310"/>
      <c r="F264" s="319"/>
      <c r="G264" s="319"/>
    </row>
    <row r="265" spans="1:8" ht="24">
      <c r="A265" s="299">
        <v>7</v>
      </c>
      <c r="B265" s="672">
        <v>110200100901000</v>
      </c>
      <c r="C265" s="300" t="s">
        <v>2983</v>
      </c>
      <c r="D265" s="339"/>
      <c r="E265" s="339" t="str">
        <f>+B264</f>
        <v>ABA460</v>
      </c>
      <c r="F265" s="321"/>
      <c r="G265" s="321"/>
    </row>
    <row r="266" spans="1:8" ht="24">
      <c r="A266" s="299">
        <v>7</v>
      </c>
      <c r="B266" s="672">
        <v>110200100902000</v>
      </c>
      <c r="C266" s="300" t="s">
        <v>2984</v>
      </c>
      <c r="D266" s="339"/>
      <c r="E266" s="339" t="str">
        <f>+E265</f>
        <v>ABA460</v>
      </c>
      <c r="F266" s="321">
        <f>682690.95</f>
        <v>682690.95</v>
      </c>
      <c r="G266" s="321">
        <v>636543.91</v>
      </c>
    </row>
    <row r="267" spans="1:8">
      <c r="A267" s="299">
        <v>7</v>
      </c>
      <c r="B267" s="672">
        <v>110200100903000</v>
      </c>
      <c r="C267" s="300" t="s">
        <v>2985</v>
      </c>
      <c r="D267" s="339"/>
      <c r="E267" s="339" t="str">
        <f>+E266</f>
        <v>ABA460</v>
      </c>
      <c r="F267" s="321"/>
      <c r="G267" s="321"/>
    </row>
    <row r="268" spans="1:8">
      <c r="A268" s="299">
        <v>7</v>
      </c>
      <c r="B268" s="672">
        <v>110200100909000</v>
      </c>
      <c r="C268" s="300" t="s">
        <v>2986</v>
      </c>
      <c r="D268" s="339"/>
      <c r="E268" s="339" t="str">
        <f>+E267</f>
        <v>ABA460</v>
      </c>
      <c r="F268" s="321"/>
      <c r="G268" s="321"/>
    </row>
    <row r="269" spans="1:8">
      <c r="A269" s="299" t="s">
        <v>1951</v>
      </c>
      <c r="B269" s="672">
        <v>210500409000000</v>
      </c>
      <c r="C269" s="300" t="s">
        <v>2987</v>
      </c>
      <c r="D269" s="339"/>
      <c r="E269" s="339" t="str">
        <f>+E268</f>
        <v>ABA460</v>
      </c>
      <c r="F269" s="321"/>
      <c r="G269" s="321"/>
      <c r="H269" t="s">
        <v>3708</v>
      </c>
    </row>
    <row r="270" spans="1:8" ht="25.5">
      <c r="A270" s="316" t="s">
        <v>1950</v>
      </c>
      <c r="B270" s="673" t="s">
        <v>2988</v>
      </c>
      <c r="C270" s="296" t="s">
        <v>2989</v>
      </c>
      <c r="D270" s="310"/>
      <c r="E270" s="310"/>
      <c r="F270" s="319"/>
      <c r="G270" s="319"/>
    </row>
    <row r="271" spans="1:8">
      <c r="A271" s="299">
        <v>7</v>
      </c>
      <c r="B271" s="672">
        <v>110200100950000</v>
      </c>
      <c r="C271" s="300" t="s">
        <v>2990</v>
      </c>
      <c r="D271" s="339"/>
      <c r="E271" s="339" t="str">
        <f>+B270</f>
        <v>ABA461</v>
      </c>
      <c r="F271" s="321"/>
      <c r="G271" s="321"/>
    </row>
    <row r="272" spans="1:8" ht="24">
      <c r="A272" s="299" t="s">
        <v>1951</v>
      </c>
      <c r="B272" s="672">
        <v>210500416000000</v>
      </c>
      <c r="C272" s="300" t="s">
        <v>2991</v>
      </c>
      <c r="D272" s="339"/>
      <c r="E272" s="339" t="str">
        <f>+E271</f>
        <v>ABA461</v>
      </c>
      <c r="F272" s="321"/>
      <c r="G272" s="321"/>
      <c r="H272" t="s">
        <v>3708</v>
      </c>
    </row>
    <row r="273" spans="1:8" ht="25.5">
      <c r="A273" s="316" t="s">
        <v>1948</v>
      </c>
      <c r="B273" s="673" t="s">
        <v>2992</v>
      </c>
      <c r="C273" s="296" t="s">
        <v>2993</v>
      </c>
      <c r="D273" s="310"/>
      <c r="E273" s="310"/>
      <c r="F273" s="319"/>
      <c r="G273" s="319"/>
    </row>
    <row r="274" spans="1:8" ht="25.5">
      <c r="A274" s="316" t="s">
        <v>1950</v>
      </c>
      <c r="B274" s="673" t="s">
        <v>2994</v>
      </c>
      <c r="C274" s="296" t="s">
        <v>2995</v>
      </c>
      <c r="D274" s="310"/>
      <c r="E274" s="310"/>
      <c r="F274" s="319"/>
      <c r="G274" s="319"/>
    </row>
    <row r="275" spans="1:8">
      <c r="A275" s="299">
        <v>7</v>
      </c>
      <c r="B275" s="672">
        <v>110200200100000</v>
      </c>
      <c r="C275" s="300" t="s">
        <v>2996</v>
      </c>
      <c r="D275" s="339"/>
      <c r="E275" s="339" t="str">
        <f>+B274</f>
        <v>ABA480</v>
      </c>
      <c r="F275" s="321">
        <v>722912.34</v>
      </c>
      <c r="G275" s="321">
        <v>722912.34</v>
      </c>
    </row>
    <row r="276" spans="1:8" ht="24">
      <c r="A276" s="299" t="s">
        <v>1951</v>
      </c>
      <c r="B276" s="672">
        <v>210500410000000</v>
      </c>
      <c r="C276" s="300" t="s">
        <v>2997</v>
      </c>
      <c r="D276" s="339"/>
      <c r="E276" s="339" t="str">
        <f>+E275</f>
        <v>ABA480</v>
      </c>
      <c r="F276" s="321"/>
      <c r="G276" s="321"/>
      <c r="H276" t="s">
        <v>3708</v>
      </c>
    </row>
    <row r="277" spans="1:8" ht="25.5">
      <c r="A277" s="316" t="s">
        <v>1950</v>
      </c>
      <c r="B277" s="673" t="s">
        <v>2998</v>
      </c>
      <c r="C277" s="296" t="s">
        <v>2999</v>
      </c>
      <c r="D277" s="310"/>
      <c r="E277" s="310"/>
      <c r="F277" s="319"/>
      <c r="G277" s="319"/>
    </row>
    <row r="278" spans="1:8">
      <c r="A278" s="299">
        <v>7</v>
      </c>
      <c r="B278" s="672">
        <v>110200200200000</v>
      </c>
      <c r="C278" s="300" t="s">
        <v>3000</v>
      </c>
      <c r="D278" s="339"/>
      <c r="E278" s="339" t="str">
        <f>+B277</f>
        <v>ABA490</v>
      </c>
      <c r="F278" s="321"/>
      <c r="G278" s="321"/>
    </row>
    <row r="279" spans="1:8" ht="24">
      <c r="A279" s="299" t="s">
        <v>1951</v>
      </c>
      <c r="B279" s="672">
        <v>210500411000000</v>
      </c>
      <c r="C279" s="300" t="s">
        <v>3001</v>
      </c>
      <c r="D279" s="339"/>
      <c r="E279" s="339" t="str">
        <f>+E278</f>
        <v>ABA490</v>
      </c>
      <c r="F279" s="321"/>
      <c r="G279" s="321"/>
      <c r="H279" t="s">
        <v>3708</v>
      </c>
    </row>
    <row r="280" spans="1:8">
      <c r="A280" s="316" t="s">
        <v>1950</v>
      </c>
      <c r="B280" s="673" t="s">
        <v>3002</v>
      </c>
      <c r="C280" s="296" t="s">
        <v>3003</v>
      </c>
      <c r="D280" s="310"/>
      <c r="E280" s="310"/>
      <c r="F280" s="319"/>
      <c r="G280" s="319"/>
    </row>
    <row r="281" spans="1:8">
      <c r="A281" s="299">
        <v>7</v>
      </c>
      <c r="B281" s="672">
        <v>110200200300000</v>
      </c>
      <c r="C281" s="300" t="s">
        <v>3004</v>
      </c>
      <c r="D281" s="339"/>
      <c r="E281" s="339" t="str">
        <f>+B280</f>
        <v>ABA500</v>
      </c>
      <c r="F281" s="321"/>
      <c r="G281" s="321"/>
    </row>
    <row r="282" spans="1:8" ht="24">
      <c r="A282" s="299" t="s">
        <v>1951</v>
      </c>
      <c r="B282" s="672">
        <v>210500412000000</v>
      </c>
      <c r="C282" s="300" t="s">
        <v>3005</v>
      </c>
      <c r="D282" s="339"/>
      <c r="E282" s="339" t="str">
        <f>+E281</f>
        <v>ABA500</v>
      </c>
      <c r="F282" s="321"/>
      <c r="G282" s="321"/>
      <c r="H282" t="s">
        <v>3708</v>
      </c>
    </row>
    <row r="283" spans="1:8" ht="38.25">
      <c r="A283" s="316" t="s">
        <v>1950</v>
      </c>
      <c r="B283" s="673" t="s">
        <v>3006</v>
      </c>
      <c r="C283" s="296" t="s">
        <v>3007</v>
      </c>
      <c r="D283" s="310"/>
      <c r="E283" s="310"/>
      <c r="F283" s="319"/>
      <c r="G283" s="319"/>
    </row>
    <row r="284" spans="1:8" ht="36">
      <c r="A284" s="299" t="s">
        <v>1951</v>
      </c>
      <c r="B284" s="672">
        <v>110200200350000</v>
      </c>
      <c r="C284" s="300" t="s">
        <v>3008</v>
      </c>
      <c r="D284" s="339"/>
      <c r="E284" s="339" t="str">
        <f>+B283</f>
        <v>ABA501</v>
      </c>
      <c r="F284" s="321"/>
      <c r="G284" s="321"/>
    </row>
    <row r="285" spans="1:8">
      <c r="A285" s="316" t="s">
        <v>1950</v>
      </c>
      <c r="B285" s="673" t="s">
        <v>3009</v>
      </c>
      <c r="C285" s="296" t="s">
        <v>3010</v>
      </c>
      <c r="D285" s="310"/>
      <c r="E285" s="310"/>
      <c r="F285" s="319"/>
      <c r="G285" s="319"/>
    </row>
    <row r="286" spans="1:8">
      <c r="A286" s="299">
        <v>7</v>
      </c>
      <c r="B286" s="672">
        <v>110200200400000</v>
      </c>
      <c r="C286" s="300" t="s">
        <v>3011</v>
      </c>
      <c r="D286" s="339"/>
      <c r="E286" s="339" t="str">
        <f>+B285</f>
        <v>ABA510</v>
      </c>
      <c r="F286" s="321"/>
      <c r="G286" s="321"/>
    </row>
    <row r="287" spans="1:8">
      <c r="A287" s="299" t="s">
        <v>1951</v>
      </c>
      <c r="B287" s="672">
        <v>210500413000000</v>
      </c>
      <c r="C287" s="300" t="s">
        <v>3012</v>
      </c>
      <c r="D287" s="339"/>
      <c r="E287" s="339" t="str">
        <f>+E286</f>
        <v>ABA510</v>
      </c>
      <c r="F287" s="321"/>
      <c r="G287" s="321"/>
      <c r="H287" t="s">
        <v>3708</v>
      </c>
    </row>
    <row r="288" spans="1:8" ht="25.5">
      <c r="A288" s="316" t="s">
        <v>1950</v>
      </c>
      <c r="B288" s="673" t="s">
        <v>3013</v>
      </c>
      <c r="C288" s="296" t="s">
        <v>3014</v>
      </c>
      <c r="D288" s="310"/>
      <c r="E288" s="310"/>
      <c r="F288" s="319"/>
      <c r="G288" s="319"/>
    </row>
    <row r="289" spans="1:8" ht="24">
      <c r="A289" s="299">
        <v>7</v>
      </c>
      <c r="B289" s="672">
        <v>110200200500000</v>
      </c>
      <c r="C289" s="300" t="s">
        <v>3015</v>
      </c>
      <c r="D289" s="339"/>
      <c r="E289" s="339" t="str">
        <f>+B288</f>
        <v>ABA520</v>
      </c>
      <c r="F289" s="321"/>
      <c r="G289" s="321"/>
    </row>
    <row r="290" spans="1:8" ht="24">
      <c r="A290" s="299" t="s">
        <v>1951</v>
      </c>
      <c r="B290" s="672">
        <v>210500414000000</v>
      </c>
      <c r="C290" s="300" t="s">
        <v>3016</v>
      </c>
      <c r="D290" s="339"/>
      <c r="E290" s="339" t="str">
        <f>+E289</f>
        <v>ABA520</v>
      </c>
      <c r="F290" s="321"/>
      <c r="G290" s="321"/>
      <c r="H290" t="s">
        <v>3708</v>
      </c>
    </row>
    <row r="291" spans="1:8">
      <c r="A291" s="316" t="s">
        <v>1948</v>
      </c>
      <c r="B291" s="673" t="s">
        <v>3017</v>
      </c>
      <c r="C291" s="296" t="s">
        <v>3018</v>
      </c>
      <c r="D291" s="310"/>
      <c r="E291" s="310"/>
      <c r="F291" s="319"/>
      <c r="G291" s="319"/>
    </row>
    <row r="292" spans="1:8">
      <c r="A292" s="299" t="s">
        <v>1950</v>
      </c>
      <c r="B292" s="672">
        <v>110200300000000</v>
      </c>
      <c r="C292" s="300" t="s">
        <v>3019</v>
      </c>
      <c r="D292" s="339"/>
      <c r="E292" s="339" t="str">
        <f>+B291</f>
        <v>ABA521</v>
      </c>
      <c r="F292" s="321"/>
      <c r="G292" s="321"/>
    </row>
    <row r="293" spans="1:8" ht="25.5">
      <c r="A293" s="316" t="s">
        <v>1948</v>
      </c>
      <c r="B293" s="673" t="s">
        <v>3020</v>
      </c>
      <c r="C293" s="296" t="s">
        <v>3021</v>
      </c>
      <c r="D293" s="310"/>
      <c r="E293" s="310"/>
      <c r="F293" s="319"/>
      <c r="G293" s="319"/>
    </row>
    <row r="294" spans="1:8" ht="24">
      <c r="A294" s="299" t="s">
        <v>1950</v>
      </c>
      <c r="B294" s="672">
        <v>110200400000000</v>
      </c>
      <c r="C294" s="300" t="s">
        <v>3022</v>
      </c>
      <c r="D294" s="339"/>
      <c r="E294" s="339" t="str">
        <f>+B293</f>
        <v>ABA522</v>
      </c>
      <c r="F294" s="321"/>
      <c r="G294" s="321"/>
    </row>
    <row r="295" spans="1:8">
      <c r="A295" s="316" t="s">
        <v>1946</v>
      </c>
      <c r="B295" s="673" t="s">
        <v>3023</v>
      </c>
      <c r="C295" s="296" t="s">
        <v>3024</v>
      </c>
      <c r="D295" s="310"/>
      <c r="E295" s="310"/>
      <c r="F295" s="319"/>
      <c r="G295" s="319"/>
    </row>
    <row r="296" spans="1:8">
      <c r="A296" s="299">
        <v>5</v>
      </c>
      <c r="B296" s="672">
        <v>110300100000000</v>
      </c>
      <c r="C296" s="300" t="s">
        <v>3025</v>
      </c>
      <c r="D296" s="339"/>
      <c r="E296" s="339" t="str">
        <f>+B295</f>
        <v>ABA530</v>
      </c>
      <c r="F296" s="321">
        <v>0</v>
      </c>
      <c r="G296" s="321">
        <v>4997.1400000000003</v>
      </c>
    </row>
    <row r="297" spans="1:8">
      <c r="A297" s="299">
        <v>5</v>
      </c>
      <c r="B297" s="672">
        <v>110300800000000</v>
      </c>
      <c r="C297" s="300" t="s">
        <v>3026</v>
      </c>
      <c r="D297" s="339"/>
      <c r="E297" s="339" t="str">
        <f>+E296</f>
        <v>ABA530</v>
      </c>
      <c r="F297" s="321">
        <v>8241</v>
      </c>
      <c r="G297" s="321">
        <v>2326</v>
      </c>
    </row>
    <row r="298" spans="1:8">
      <c r="A298" s="299">
        <v>5</v>
      </c>
      <c r="B298" s="672">
        <v>110300900000000</v>
      </c>
      <c r="C298" s="300" t="s">
        <v>3027</v>
      </c>
      <c r="D298" s="339"/>
      <c r="E298" s="339" t="str">
        <f>+E297</f>
        <v>ABA530</v>
      </c>
      <c r="F298" s="321"/>
      <c r="G298" s="321"/>
    </row>
    <row r="299" spans="1:8">
      <c r="A299" s="299" t="s">
        <v>1948</v>
      </c>
      <c r="B299" s="672">
        <v>210500500000000</v>
      </c>
      <c r="C299" s="300" t="s">
        <v>3028</v>
      </c>
      <c r="D299" s="339"/>
      <c r="E299" s="339" t="str">
        <f>+E298</f>
        <v>ABA530</v>
      </c>
      <c r="F299" s="321"/>
      <c r="G299" s="321"/>
      <c r="H299" t="s">
        <v>3708</v>
      </c>
    </row>
    <row r="300" spans="1:8">
      <c r="A300" s="316" t="s">
        <v>1946</v>
      </c>
      <c r="B300" s="673" t="s">
        <v>3029</v>
      </c>
      <c r="C300" s="296" t="s">
        <v>3030</v>
      </c>
      <c r="D300" s="310"/>
      <c r="E300" s="310"/>
      <c r="F300" s="319"/>
      <c r="G300" s="319"/>
    </row>
    <row r="301" spans="1:8">
      <c r="A301" s="316" t="s">
        <v>1948</v>
      </c>
      <c r="B301" s="673" t="s">
        <v>3031</v>
      </c>
      <c r="C301" s="296" t="s">
        <v>3032</v>
      </c>
      <c r="D301" s="310"/>
      <c r="E301" s="310"/>
      <c r="F301" s="319"/>
      <c r="G301" s="319"/>
    </row>
    <row r="302" spans="1:8" ht="25.5">
      <c r="A302" s="316" t="s">
        <v>1950</v>
      </c>
      <c r="B302" s="673" t="s">
        <v>3033</v>
      </c>
      <c r="C302" s="296" t="s">
        <v>3034</v>
      </c>
      <c r="D302" s="310" t="s">
        <v>1238</v>
      </c>
      <c r="E302" s="310"/>
      <c r="F302" s="319"/>
      <c r="G302" s="319"/>
    </row>
    <row r="303" spans="1:8" ht="24">
      <c r="A303" s="299">
        <v>7</v>
      </c>
      <c r="B303" s="672">
        <v>110400100100000</v>
      </c>
      <c r="C303" s="300" t="s">
        <v>3035</v>
      </c>
      <c r="D303" s="339" t="s">
        <v>1238</v>
      </c>
      <c r="E303" s="339" t="str">
        <f>+B302</f>
        <v>ABA560</v>
      </c>
      <c r="F303" s="321"/>
      <c r="G303" s="321"/>
    </row>
    <row r="304" spans="1:8" ht="25.5">
      <c r="A304" s="316" t="s">
        <v>1950</v>
      </c>
      <c r="B304" s="673" t="s">
        <v>3036</v>
      </c>
      <c r="C304" s="296" t="s">
        <v>3037</v>
      </c>
      <c r="D304" s="310" t="s">
        <v>1238</v>
      </c>
      <c r="E304" s="310"/>
      <c r="F304" s="319"/>
      <c r="G304" s="319"/>
    </row>
    <row r="305" spans="1:9" ht="24">
      <c r="A305" s="299">
        <v>7</v>
      </c>
      <c r="B305" s="672">
        <v>110400100201000</v>
      </c>
      <c r="C305" s="300" t="s">
        <v>3038</v>
      </c>
      <c r="D305" s="339" t="s">
        <v>1238</v>
      </c>
      <c r="E305" s="339" t="str">
        <f>+B304</f>
        <v>ABA570</v>
      </c>
      <c r="F305" s="321"/>
      <c r="G305" s="321"/>
    </row>
    <row r="306" spans="1:9" ht="24">
      <c r="A306" s="299">
        <v>7</v>
      </c>
      <c r="B306" s="672">
        <v>110400100208000</v>
      </c>
      <c r="C306" s="300" t="s">
        <v>3039</v>
      </c>
      <c r="D306" s="339" t="s">
        <v>1238</v>
      </c>
      <c r="E306" s="339" t="str">
        <f>+E305</f>
        <v>ABA570</v>
      </c>
      <c r="F306" s="321"/>
      <c r="G306" s="321"/>
    </row>
    <row r="307" spans="1:9" ht="24">
      <c r="A307" s="299">
        <v>7</v>
      </c>
      <c r="B307" s="672">
        <v>110400100209000</v>
      </c>
      <c r="C307" s="300" t="s">
        <v>3040</v>
      </c>
      <c r="D307" s="339" t="s">
        <v>1238</v>
      </c>
      <c r="E307" s="339" t="str">
        <f>+E306</f>
        <v>ABA570</v>
      </c>
      <c r="F307" s="321"/>
      <c r="G307" s="321"/>
    </row>
    <row r="308" spans="1:9" ht="25.5">
      <c r="A308" s="316" t="s">
        <v>1950</v>
      </c>
      <c r="B308" s="673" t="s">
        <v>3041</v>
      </c>
      <c r="C308" s="296" t="s">
        <v>3042</v>
      </c>
      <c r="D308" s="310" t="s">
        <v>1238</v>
      </c>
      <c r="E308" s="310"/>
      <c r="F308" s="319"/>
      <c r="G308" s="319"/>
    </row>
    <row r="309" spans="1:9">
      <c r="A309" s="299">
        <v>7</v>
      </c>
      <c r="B309" s="674">
        <v>110400100301000</v>
      </c>
      <c r="C309" s="300" t="s">
        <v>3043</v>
      </c>
      <c r="D309" s="339" t="s">
        <v>1238</v>
      </c>
      <c r="E309" s="339" t="str">
        <f>+B308</f>
        <v>ABA580</v>
      </c>
      <c r="F309" s="321">
        <v>144720103.19999999</v>
      </c>
      <c r="G309" s="321">
        <f>49857761.22-'[1]Alimentazione SP P'!$H$102</f>
        <v>49752826.449999996</v>
      </c>
      <c r="H309" s="676"/>
      <c r="I309" s="680"/>
    </row>
    <row r="310" spans="1:9" ht="24">
      <c r="A310" s="299">
        <v>7</v>
      </c>
      <c r="B310" s="672">
        <v>110400100308000</v>
      </c>
      <c r="C310" s="300" t="s">
        <v>3044</v>
      </c>
      <c r="D310" s="339" t="s">
        <v>1238</v>
      </c>
      <c r="E310" s="339" t="str">
        <f>+E309</f>
        <v>ABA580</v>
      </c>
      <c r="F310" s="321">
        <v>2093054.6</v>
      </c>
      <c r="G310" s="321">
        <v>491832.07</v>
      </c>
    </row>
    <row r="311" spans="1:9" ht="24">
      <c r="A311" s="299">
        <v>7</v>
      </c>
      <c r="B311" s="672">
        <v>110400100309000</v>
      </c>
      <c r="C311" s="300" t="s">
        <v>3045</v>
      </c>
      <c r="D311" s="339" t="s">
        <v>1238</v>
      </c>
      <c r="E311" s="339" t="str">
        <f>+E310</f>
        <v>ABA580</v>
      </c>
      <c r="F311" s="321">
        <v>-2769123.22</v>
      </c>
      <c r="G311" s="321">
        <v>-2002040.84</v>
      </c>
    </row>
    <row r="312" spans="1:9">
      <c r="A312" s="316" t="s">
        <v>1948</v>
      </c>
      <c r="B312" s="673" t="s">
        <v>3046</v>
      </c>
      <c r="C312" s="296" t="s">
        <v>3047</v>
      </c>
      <c r="D312" s="310"/>
      <c r="E312" s="310"/>
      <c r="F312" s="319"/>
      <c r="G312" s="319"/>
    </row>
    <row r="313" spans="1:9">
      <c r="A313" s="299">
        <v>6</v>
      </c>
      <c r="B313" s="672">
        <v>110400200000000</v>
      </c>
      <c r="C313" s="300" t="s">
        <v>3048</v>
      </c>
      <c r="D313" s="339"/>
      <c r="E313" s="339" t="str">
        <f>+B312</f>
        <v>ABA590</v>
      </c>
      <c r="F313" s="321"/>
      <c r="G313" s="321"/>
    </row>
    <row r="314" spans="1:9" ht="38.25">
      <c r="A314" s="316" t="s">
        <v>1948</v>
      </c>
      <c r="B314" s="673" t="s">
        <v>3049</v>
      </c>
      <c r="C314" s="296" t="s">
        <v>3050</v>
      </c>
      <c r="D314" s="310"/>
      <c r="E314" s="310"/>
      <c r="F314" s="319"/>
      <c r="G314" s="319"/>
    </row>
    <row r="315" spans="1:9" ht="36">
      <c r="A315" s="299" t="s">
        <v>1950</v>
      </c>
      <c r="B315" s="672">
        <v>110400250000000</v>
      </c>
      <c r="C315" s="300" t="s">
        <v>3051</v>
      </c>
      <c r="D315" s="339" t="s">
        <v>3052</v>
      </c>
      <c r="E315" s="339"/>
      <c r="F315" s="321"/>
      <c r="G315" s="321"/>
    </row>
    <row r="316" spans="1:9">
      <c r="A316" s="316" t="s">
        <v>1948</v>
      </c>
      <c r="B316" s="673" t="s">
        <v>3053</v>
      </c>
      <c r="C316" s="296" t="s">
        <v>3054</v>
      </c>
      <c r="D316" s="310"/>
      <c r="E316" s="310"/>
      <c r="F316" s="319"/>
      <c r="G316" s="319"/>
    </row>
    <row r="317" spans="1:9">
      <c r="A317" s="299">
        <v>6</v>
      </c>
      <c r="B317" s="672">
        <v>110400300100000</v>
      </c>
      <c r="C317" s="300" t="s">
        <v>3055</v>
      </c>
      <c r="D317" s="339"/>
      <c r="E317" s="339" t="str">
        <f>+B316</f>
        <v>ABA600</v>
      </c>
      <c r="F317" s="321">
        <v>56447.87</v>
      </c>
      <c r="G317" s="321">
        <v>27732.39</v>
      </c>
    </row>
    <row r="318" spans="1:9" ht="24">
      <c r="A318" s="299">
        <v>6</v>
      </c>
      <c r="B318" s="672">
        <v>110400300800000</v>
      </c>
      <c r="C318" s="300" t="s">
        <v>3056</v>
      </c>
      <c r="D318" s="339"/>
      <c r="E318" s="339" t="str">
        <f>+E317</f>
        <v>ABA600</v>
      </c>
      <c r="F318" s="321"/>
      <c r="G318" s="321"/>
    </row>
    <row r="319" spans="1:9">
      <c r="A319" s="299">
        <v>6</v>
      </c>
      <c r="B319" s="672">
        <v>110400300900000</v>
      </c>
      <c r="C319" s="300" t="s">
        <v>3057</v>
      </c>
      <c r="D319" s="339"/>
      <c r="E319" s="339" t="str">
        <f>+E318</f>
        <v>ABA600</v>
      </c>
      <c r="F319" s="321">
        <v>153.74</v>
      </c>
      <c r="G319" s="321">
        <v>129912.07</v>
      </c>
    </row>
    <row r="320" spans="1:9">
      <c r="A320" s="299" t="s">
        <v>1950</v>
      </c>
      <c r="B320" s="672">
        <v>210500604000000</v>
      </c>
      <c r="C320" s="300" t="s">
        <v>3058</v>
      </c>
      <c r="D320" s="339"/>
      <c r="E320" s="339" t="str">
        <f>+E319</f>
        <v>ABA600</v>
      </c>
      <c r="F320" s="321"/>
      <c r="G320" s="321"/>
      <c r="H320" t="s">
        <v>3708</v>
      </c>
    </row>
    <row r="321" spans="1:8" ht="38.25">
      <c r="A321" s="316" t="s">
        <v>1948</v>
      </c>
      <c r="B321" s="673" t="s">
        <v>3059</v>
      </c>
      <c r="C321" s="296" t="s">
        <v>3060</v>
      </c>
      <c r="D321" s="310" t="s">
        <v>1238</v>
      </c>
      <c r="E321" s="310"/>
      <c r="F321" s="319"/>
      <c r="G321" s="319"/>
    </row>
    <row r="322" spans="1:8" ht="24">
      <c r="A322" s="299" t="s">
        <v>1950</v>
      </c>
      <c r="B322" s="672">
        <v>110400350000000</v>
      </c>
      <c r="C322" s="300" t="s">
        <v>3061</v>
      </c>
      <c r="D322" s="339" t="s">
        <v>1238</v>
      </c>
      <c r="E322" s="339" t="str">
        <f>+B321</f>
        <v>ABA601</v>
      </c>
      <c r="F322" s="321"/>
      <c r="G322" s="321"/>
    </row>
    <row r="323" spans="1:8">
      <c r="A323" s="316" t="s">
        <v>1946</v>
      </c>
      <c r="B323" s="673" t="s">
        <v>3062</v>
      </c>
      <c r="C323" s="296" t="s">
        <v>3063</v>
      </c>
      <c r="D323" s="310"/>
      <c r="E323" s="310"/>
      <c r="F323" s="319"/>
      <c r="G323" s="319"/>
    </row>
    <row r="324" spans="1:8">
      <c r="A324" s="316" t="s">
        <v>1948</v>
      </c>
      <c r="B324" s="673" t="s">
        <v>3064</v>
      </c>
      <c r="C324" s="296" t="s">
        <v>3065</v>
      </c>
      <c r="D324" s="310"/>
      <c r="E324" s="310"/>
      <c r="F324" s="319"/>
      <c r="G324" s="319"/>
    </row>
    <row r="325" spans="1:8">
      <c r="A325" s="299">
        <v>6</v>
      </c>
      <c r="B325" s="672">
        <v>110500100000000</v>
      </c>
      <c r="C325" s="300" t="s">
        <v>3066</v>
      </c>
      <c r="D325" s="339"/>
      <c r="E325" s="339" t="str">
        <f>+B324</f>
        <v>ABA620</v>
      </c>
      <c r="F325" s="321"/>
      <c r="G325" s="321"/>
    </row>
    <row r="326" spans="1:8">
      <c r="A326" s="299" t="s">
        <v>1950</v>
      </c>
      <c r="B326" s="672">
        <v>210500700000000</v>
      </c>
      <c r="C326" s="300" t="s">
        <v>3067</v>
      </c>
      <c r="D326" s="339"/>
      <c r="E326" s="339" t="str">
        <f>+E325</f>
        <v>ABA620</v>
      </c>
      <c r="F326" s="321"/>
      <c r="G326" s="321"/>
      <c r="H326" t="s">
        <v>3708</v>
      </c>
    </row>
    <row r="327" spans="1:8">
      <c r="A327" s="316" t="s">
        <v>1948</v>
      </c>
      <c r="B327" s="673" t="s">
        <v>3068</v>
      </c>
      <c r="C327" s="296" t="s">
        <v>3069</v>
      </c>
      <c r="D327" s="310"/>
      <c r="E327" s="310"/>
      <c r="F327" s="319"/>
      <c r="G327" s="319"/>
    </row>
    <row r="328" spans="1:8">
      <c r="A328" s="299">
        <v>6</v>
      </c>
      <c r="B328" s="672">
        <v>110500200000000</v>
      </c>
      <c r="C328" s="300" t="s">
        <v>3070</v>
      </c>
      <c r="D328" s="339"/>
      <c r="E328" s="339" t="str">
        <f>+B327</f>
        <v>ABA630</v>
      </c>
      <c r="F328" s="321"/>
      <c r="G328" s="321"/>
    </row>
    <row r="329" spans="1:8">
      <c r="A329" s="299" t="s">
        <v>1950</v>
      </c>
      <c r="B329" s="672">
        <v>210500701000000</v>
      </c>
      <c r="C329" s="300" t="s">
        <v>3071</v>
      </c>
      <c r="D329" s="339"/>
      <c r="E329" s="339" t="str">
        <f>+E328</f>
        <v>ABA630</v>
      </c>
      <c r="F329" s="321"/>
      <c r="G329" s="321"/>
      <c r="H329" t="s">
        <v>3708</v>
      </c>
    </row>
    <row r="330" spans="1:8">
      <c r="A330" s="316" t="s">
        <v>1948</v>
      </c>
      <c r="B330" s="673" t="s">
        <v>3072</v>
      </c>
      <c r="C330" s="296" t="s">
        <v>3073</v>
      </c>
      <c r="D330" s="310"/>
      <c r="E330" s="310"/>
      <c r="F330" s="319"/>
      <c r="G330" s="319"/>
    </row>
    <row r="331" spans="1:8">
      <c r="A331" s="299">
        <v>6</v>
      </c>
      <c r="B331" s="672">
        <v>110500300100000</v>
      </c>
      <c r="C331" s="300" t="s">
        <v>3074</v>
      </c>
      <c r="D331" s="339"/>
      <c r="E331" s="339" t="str">
        <f>+B330</f>
        <v>ABA640</v>
      </c>
      <c r="F331" s="321"/>
      <c r="G331" s="321"/>
    </row>
    <row r="332" spans="1:8">
      <c r="A332" s="299">
        <v>6</v>
      </c>
      <c r="B332" s="672">
        <v>110500300800000</v>
      </c>
      <c r="C332" s="300" t="s">
        <v>3075</v>
      </c>
      <c r="D332" s="339"/>
      <c r="E332" s="339" t="str">
        <f>+E331</f>
        <v>ABA640</v>
      </c>
      <c r="F332" s="321"/>
      <c r="G332" s="321"/>
    </row>
    <row r="333" spans="1:8">
      <c r="A333" s="299">
        <v>6</v>
      </c>
      <c r="B333" s="672">
        <v>110500300900000</v>
      </c>
      <c r="C333" s="300" t="s">
        <v>3076</v>
      </c>
      <c r="D333" s="339"/>
      <c r="E333" s="339" t="str">
        <f>+E332</f>
        <v>ABA640</v>
      </c>
      <c r="F333" s="321"/>
      <c r="G333" s="321"/>
    </row>
    <row r="334" spans="1:8">
      <c r="A334" s="299" t="s">
        <v>1950</v>
      </c>
      <c r="B334" s="672">
        <v>210500702000000</v>
      </c>
      <c r="C334" s="300" t="s">
        <v>3077</v>
      </c>
      <c r="D334" s="339"/>
      <c r="E334" s="339" t="str">
        <f>+E333</f>
        <v>ABA640</v>
      </c>
      <c r="F334" s="321"/>
      <c r="G334" s="321"/>
      <c r="H334" t="s">
        <v>3708</v>
      </c>
    </row>
    <row r="335" spans="1:8">
      <c r="A335" s="316" t="s">
        <v>1946</v>
      </c>
      <c r="B335" s="673" t="s">
        <v>3078</v>
      </c>
      <c r="C335" s="296" t="s">
        <v>3079</v>
      </c>
      <c r="D335" s="310"/>
      <c r="E335" s="310"/>
      <c r="F335" s="319"/>
      <c r="G335" s="319"/>
    </row>
    <row r="336" spans="1:8">
      <c r="A336" s="299">
        <v>5</v>
      </c>
      <c r="B336" s="672">
        <v>110600100000000</v>
      </c>
      <c r="C336" s="300" t="s">
        <v>3080</v>
      </c>
      <c r="D336" s="339"/>
      <c r="E336" s="339" t="str">
        <f>+B335</f>
        <v>ABA650</v>
      </c>
      <c r="F336" s="321"/>
      <c r="G336" s="321"/>
    </row>
    <row r="337" spans="1:9">
      <c r="A337" s="299">
        <v>5</v>
      </c>
      <c r="B337" s="672">
        <v>110600200000000</v>
      </c>
      <c r="C337" s="300" t="s">
        <v>3081</v>
      </c>
      <c r="D337" s="339"/>
      <c r="E337" s="339" t="str">
        <f>+E336</f>
        <v>ABA650</v>
      </c>
      <c r="F337" s="321"/>
      <c r="G337" s="321"/>
    </row>
    <row r="338" spans="1:9">
      <c r="A338" s="299">
        <v>5</v>
      </c>
      <c r="B338" s="672">
        <v>110600300000000</v>
      </c>
      <c r="C338" s="300" t="s">
        <v>3082</v>
      </c>
      <c r="D338" s="339"/>
      <c r="E338" s="339" t="str">
        <f>+E337</f>
        <v>ABA650</v>
      </c>
      <c r="F338" s="321">
        <v>35474.69</v>
      </c>
      <c r="G338" s="321">
        <v>20635.72</v>
      </c>
    </row>
    <row r="339" spans="1:9">
      <c r="A339" s="299">
        <v>5</v>
      </c>
      <c r="B339" s="672">
        <v>110600300000010</v>
      </c>
      <c r="C339" s="300" t="s">
        <v>3083</v>
      </c>
      <c r="D339" s="339"/>
      <c r="E339" s="339" t="str">
        <f>+E338</f>
        <v>ABA650</v>
      </c>
      <c r="F339" s="321">
        <v>0</v>
      </c>
      <c r="G339" s="321"/>
    </row>
    <row r="340" spans="1:9">
      <c r="A340" s="299">
        <v>5</v>
      </c>
      <c r="B340" s="672">
        <v>110600400000000</v>
      </c>
      <c r="C340" s="300" t="s">
        <v>3084</v>
      </c>
      <c r="D340" s="339"/>
      <c r="E340" s="339" t="str">
        <f>+E339</f>
        <v>ABA650</v>
      </c>
      <c r="F340" s="321"/>
      <c r="G340" s="321"/>
    </row>
    <row r="341" spans="1:9">
      <c r="A341" s="299">
        <v>5</v>
      </c>
      <c r="B341" s="672">
        <v>110600500000000</v>
      </c>
      <c r="C341" s="300" t="s">
        <v>3085</v>
      </c>
      <c r="D341" s="339"/>
      <c r="E341" s="339" t="str">
        <f t="shared" ref="E341:E343" si="0">+E340</f>
        <v>ABA650</v>
      </c>
      <c r="F341" s="321">
        <v>0</v>
      </c>
      <c r="G341" s="321"/>
    </row>
    <row r="342" spans="1:9">
      <c r="A342" s="299">
        <v>5</v>
      </c>
      <c r="B342" s="672">
        <v>110600600000000</v>
      </c>
      <c r="C342" s="300" t="s">
        <v>3086</v>
      </c>
      <c r="D342" s="339"/>
      <c r="E342" s="339" t="str">
        <f t="shared" si="0"/>
        <v>ABA650</v>
      </c>
      <c r="F342" s="321">
        <v>402</v>
      </c>
      <c r="G342" s="321">
        <v>444</v>
      </c>
    </row>
    <row r="343" spans="1:9">
      <c r="A343" s="299" t="s">
        <v>1948</v>
      </c>
      <c r="B343" s="672">
        <v>210500703000000</v>
      </c>
      <c r="C343" s="300" t="s">
        <v>3087</v>
      </c>
      <c r="D343" s="339"/>
      <c r="E343" s="339" t="str">
        <f t="shared" si="0"/>
        <v>ABA650</v>
      </c>
      <c r="F343" s="321"/>
      <c r="G343" s="321"/>
      <c r="H343" t="s">
        <v>3708</v>
      </c>
    </row>
    <row r="344" spans="1:9">
      <c r="A344" s="316" t="s">
        <v>1946</v>
      </c>
      <c r="B344" s="673" t="s">
        <v>3088</v>
      </c>
      <c r="C344" s="296" t="s">
        <v>3089</v>
      </c>
      <c r="D344" s="310"/>
      <c r="E344" s="310"/>
      <c r="F344" s="319"/>
      <c r="G344" s="319"/>
    </row>
    <row r="345" spans="1:9">
      <c r="A345" s="316" t="s">
        <v>1948</v>
      </c>
      <c r="B345" s="673" t="s">
        <v>3090</v>
      </c>
      <c r="C345" s="296" t="s">
        <v>3091</v>
      </c>
      <c r="D345" s="310"/>
      <c r="E345" s="310"/>
      <c r="F345" s="319"/>
      <c r="G345" s="319"/>
    </row>
    <row r="346" spans="1:9">
      <c r="A346" s="299">
        <v>6</v>
      </c>
      <c r="B346" s="672">
        <v>110700100100000</v>
      </c>
      <c r="C346" s="300" t="s">
        <v>3092</v>
      </c>
      <c r="D346" s="339"/>
      <c r="E346" s="339" t="str">
        <f>+B345</f>
        <v>ABA670</v>
      </c>
      <c r="F346" s="321">
        <v>284524.82</v>
      </c>
      <c r="G346" s="321">
        <v>61761.609999999986</v>
      </c>
      <c r="H346" s="676"/>
      <c r="I346" s="676"/>
    </row>
    <row r="347" spans="1:9">
      <c r="A347" s="299">
        <v>6</v>
      </c>
      <c r="B347" s="672">
        <v>110700100200000</v>
      </c>
      <c r="C347" s="300" t="s">
        <v>3093</v>
      </c>
      <c r="D347" s="339"/>
      <c r="E347" s="339" t="str">
        <f>+E346</f>
        <v>ABA670</v>
      </c>
      <c r="F347" s="321">
        <v>0</v>
      </c>
      <c r="G347" s="321"/>
    </row>
    <row r="348" spans="1:9">
      <c r="A348" s="299">
        <v>6</v>
      </c>
      <c r="B348" s="672">
        <v>110700100300000</v>
      </c>
      <c r="C348" s="300" t="s">
        <v>3094</v>
      </c>
      <c r="D348" s="339"/>
      <c r="E348" s="339" t="str">
        <f>+E347</f>
        <v>ABA670</v>
      </c>
      <c r="F348" s="321">
        <v>87008.45</v>
      </c>
      <c r="G348" s="321">
        <v>986303.73</v>
      </c>
    </row>
    <row r="349" spans="1:9">
      <c r="A349" s="299">
        <v>6</v>
      </c>
      <c r="B349" s="672">
        <v>110700100800000</v>
      </c>
      <c r="C349" s="300" t="s">
        <v>3095</v>
      </c>
      <c r="D349" s="339"/>
      <c r="E349" s="339" t="str">
        <f>+E348</f>
        <v>ABA670</v>
      </c>
      <c r="F349" s="321">
        <v>11419.61</v>
      </c>
      <c r="G349" s="321">
        <v>1118</v>
      </c>
    </row>
    <row r="350" spans="1:9">
      <c r="A350" s="299">
        <v>6</v>
      </c>
      <c r="B350" s="672">
        <v>110700100900000</v>
      </c>
      <c r="C350" s="300" t="s">
        <v>3096</v>
      </c>
      <c r="D350" s="339"/>
      <c r="E350" s="339" t="str">
        <f>+E349</f>
        <v>ABA670</v>
      </c>
      <c r="F350" s="321">
        <v>-148075.75</v>
      </c>
      <c r="G350" s="321">
        <v>-3424.92</v>
      </c>
    </row>
    <row r="351" spans="1:9">
      <c r="A351" s="299" t="s">
        <v>1950</v>
      </c>
      <c r="B351" s="672">
        <v>210500900000000</v>
      </c>
      <c r="C351" s="300" t="s">
        <v>3097</v>
      </c>
      <c r="D351" s="339"/>
      <c r="E351" s="339" t="str">
        <f t="shared" ref="E351" si="1">+E350</f>
        <v>ABA670</v>
      </c>
      <c r="F351" s="321">
        <v>-41536.75</v>
      </c>
      <c r="G351" s="321">
        <v>-98970.9</v>
      </c>
      <c r="H351" t="s">
        <v>3708</v>
      </c>
      <c r="I351" s="680"/>
    </row>
    <row r="352" spans="1:9">
      <c r="A352" s="316" t="s">
        <v>1948</v>
      </c>
      <c r="B352" s="673" t="s">
        <v>3098</v>
      </c>
      <c r="C352" s="296" t="s">
        <v>3099</v>
      </c>
      <c r="D352" s="310"/>
      <c r="E352" s="310"/>
      <c r="F352" s="319"/>
      <c r="G352" s="319"/>
    </row>
    <row r="353" spans="1:8">
      <c r="A353" s="299">
        <v>6</v>
      </c>
      <c r="B353" s="672">
        <v>110700200000000</v>
      </c>
      <c r="C353" s="300" t="s">
        <v>3100</v>
      </c>
      <c r="D353" s="339"/>
      <c r="E353" s="339" t="str">
        <f>+B352</f>
        <v>ABA680</v>
      </c>
      <c r="F353" s="321"/>
      <c r="G353" s="321"/>
    </row>
    <row r="354" spans="1:8">
      <c r="A354" s="299" t="s">
        <v>1950</v>
      </c>
      <c r="B354" s="672">
        <v>210500901000000</v>
      </c>
      <c r="C354" s="300" t="s">
        <v>3101</v>
      </c>
      <c r="D354" s="339"/>
      <c r="E354" s="339" t="str">
        <f>+E353</f>
        <v>ABA680</v>
      </c>
      <c r="F354" s="321"/>
      <c r="G354" s="321"/>
      <c r="H354" t="s">
        <v>3708</v>
      </c>
    </row>
    <row r="355" spans="1:8">
      <c r="A355" s="316" t="s">
        <v>1948</v>
      </c>
      <c r="B355" s="673" t="s">
        <v>3102</v>
      </c>
      <c r="C355" s="296" t="s">
        <v>3103</v>
      </c>
      <c r="D355" s="310"/>
      <c r="E355" s="310"/>
      <c r="F355" s="319"/>
      <c r="G355" s="319"/>
    </row>
    <row r="356" spans="1:8">
      <c r="A356" s="299">
        <v>6</v>
      </c>
      <c r="B356" s="672">
        <v>110700300100000</v>
      </c>
      <c r="C356" s="300" t="s">
        <v>3104</v>
      </c>
      <c r="D356" s="339"/>
      <c r="E356" s="339" t="str">
        <f>+B355</f>
        <v>ABA690</v>
      </c>
      <c r="F356" s="321"/>
      <c r="G356" s="321"/>
    </row>
    <row r="357" spans="1:8">
      <c r="A357" s="299">
        <v>6</v>
      </c>
      <c r="B357" s="672">
        <v>110700300200000</v>
      </c>
      <c r="C357" s="300" t="s">
        <v>3105</v>
      </c>
      <c r="D357" s="339"/>
      <c r="E357" s="339" t="str">
        <f>+E356</f>
        <v>ABA690</v>
      </c>
      <c r="F357" s="321">
        <v>264431.73</v>
      </c>
      <c r="G357" s="321">
        <v>150563.21</v>
      </c>
    </row>
    <row r="358" spans="1:8">
      <c r="A358" s="299">
        <v>6</v>
      </c>
      <c r="B358" s="672">
        <v>110700300800000</v>
      </c>
      <c r="C358" s="300" t="s">
        <v>3106</v>
      </c>
      <c r="D358" s="339"/>
      <c r="E358" s="339" t="str">
        <f>+E357</f>
        <v>ABA690</v>
      </c>
      <c r="F358" s="321"/>
      <c r="G358" s="321"/>
    </row>
    <row r="359" spans="1:8">
      <c r="A359" s="299">
        <v>6</v>
      </c>
      <c r="B359" s="672">
        <v>110700300900000</v>
      </c>
      <c r="C359" s="300" t="s">
        <v>3107</v>
      </c>
      <c r="D359" s="339"/>
      <c r="E359" s="339" t="str">
        <f>+E358</f>
        <v>ABA690</v>
      </c>
      <c r="F359" s="321"/>
      <c r="G359" s="321"/>
    </row>
    <row r="360" spans="1:8">
      <c r="A360" s="299" t="s">
        <v>1950</v>
      </c>
      <c r="B360" s="672">
        <v>210500902000000</v>
      </c>
      <c r="C360" s="300" t="s">
        <v>3108</v>
      </c>
      <c r="D360" s="339"/>
      <c r="E360" s="339" t="str">
        <f>+E359</f>
        <v>ABA690</v>
      </c>
      <c r="F360" s="321"/>
      <c r="G360" s="321"/>
      <c r="H360" t="s">
        <v>3708</v>
      </c>
    </row>
    <row r="361" spans="1:8">
      <c r="A361" s="316" t="s">
        <v>1948</v>
      </c>
      <c r="B361" s="673" t="s">
        <v>3109</v>
      </c>
      <c r="C361" s="296" t="s">
        <v>3110</v>
      </c>
      <c r="D361" s="310"/>
      <c r="E361" s="310"/>
      <c r="F361" s="319"/>
      <c r="G361" s="319"/>
    </row>
    <row r="362" spans="1:8">
      <c r="A362" s="299">
        <v>6</v>
      </c>
      <c r="B362" s="672">
        <v>110700400000000</v>
      </c>
      <c r="C362" s="300" t="s">
        <v>3111</v>
      </c>
      <c r="D362" s="339"/>
      <c r="E362" s="339" t="str">
        <f>+B361</f>
        <v>ABA700</v>
      </c>
      <c r="F362" s="321"/>
      <c r="G362" s="321"/>
    </row>
    <row r="363" spans="1:8">
      <c r="A363" s="299" t="s">
        <v>1950</v>
      </c>
      <c r="B363" s="672">
        <v>210500903000000</v>
      </c>
      <c r="C363" s="300" t="s">
        <v>3112</v>
      </c>
      <c r="D363" s="339"/>
      <c r="E363" s="339" t="str">
        <f>+E362</f>
        <v>ABA700</v>
      </c>
      <c r="F363" s="321"/>
      <c r="G363" s="321"/>
      <c r="H363" t="s">
        <v>3708</v>
      </c>
    </row>
    <row r="364" spans="1:8">
      <c r="A364" s="316" t="s">
        <v>1948</v>
      </c>
      <c r="B364" s="673" t="s">
        <v>3113</v>
      </c>
      <c r="C364" s="296" t="s">
        <v>3114</v>
      </c>
      <c r="D364" s="310"/>
      <c r="E364" s="310"/>
      <c r="F364" s="319"/>
      <c r="G364" s="319"/>
    </row>
    <row r="365" spans="1:8">
      <c r="A365" s="316" t="s">
        <v>1950</v>
      </c>
      <c r="B365" s="673" t="s">
        <v>3115</v>
      </c>
      <c r="C365" s="296" t="s">
        <v>3116</v>
      </c>
      <c r="D365" s="310"/>
      <c r="E365" s="310"/>
      <c r="F365" s="319"/>
      <c r="G365" s="319"/>
    </row>
    <row r="366" spans="1:8">
      <c r="A366" s="299">
        <v>7</v>
      </c>
      <c r="B366" s="672">
        <v>110700500100000</v>
      </c>
      <c r="C366" s="300" t="s">
        <v>3117</v>
      </c>
      <c r="D366" s="339"/>
      <c r="E366" s="339" t="str">
        <f>+B365</f>
        <v>ABA711</v>
      </c>
      <c r="F366" s="321">
        <v>1635</v>
      </c>
      <c r="G366" s="321">
        <v>2801.93</v>
      </c>
      <c r="H366" s="676"/>
    </row>
    <row r="367" spans="1:8">
      <c r="A367" s="299">
        <v>7</v>
      </c>
      <c r="B367" s="672">
        <v>110700500150000</v>
      </c>
      <c r="C367" s="300" t="s">
        <v>3118</v>
      </c>
      <c r="D367" s="339"/>
      <c r="E367" s="339" t="str">
        <f>+E366</f>
        <v>ABA711</v>
      </c>
      <c r="F367" s="321">
        <v>0</v>
      </c>
      <c r="G367" s="321">
        <v>5466.72</v>
      </c>
    </row>
    <row r="368" spans="1:8">
      <c r="A368" s="299">
        <v>7</v>
      </c>
      <c r="B368" s="672">
        <v>110700500200000</v>
      </c>
      <c r="C368" s="300" t="s">
        <v>3119</v>
      </c>
      <c r="D368" s="339"/>
      <c r="E368" s="339" t="str">
        <f>+E367</f>
        <v>ABA711</v>
      </c>
      <c r="F368" s="321"/>
      <c r="G368" s="321"/>
    </row>
    <row r="369" spans="1:8">
      <c r="A369" s="299">
        <v>7</v>
      </c>
      <c r="B369" s="672">
        <v>110700500300000</v>
      </c>
      <c r="C369" s="300" t="s">
        <v>3120</v>
      </c>
      <c r="D369" s="339"/>
      <c r="E369" s="339" t="str">
        <f>+E368</f>
        <v>ABA711</v>
      </c>
      <c r="F369" s="321">
        <v>70915.16</v>
      </c>
      <c r="G369" s="321"/>
    </row>
    <row r="370" spans="1:8">
      <c r="A370" s="299">
        <v>7</v>
      </c>
      <c r="B370" s="672">
        <v>110700500400000</v>
      </c>
      <c r="C370" s="300" t="s">
        <v>3121</v>
      </c>
      <c r="D370" s="339"/>
      <c r="E370" s="339" t="str">
        <f>+E369</f>
        <v>ABA711</v>
      </c>
      <c r="F370" s="321"/>
      <c r="G370" s="321"/>
    </row>
    <row r="371" spans="1:8">
      <c r="A371" s="299">
        <v>7</v>
      </c>
      <c r="B371" s="672">
        <v>110700500900000</v>
      </c>
      <c r="C371" s="300" t="s">
        <v>3122</v>
      </c>
      <c r="D371" s="339"/>
      <c r="E371" s="339" t="str">
        <f t="shared" ref="E371" si="2">+E370</f>
        <v>ABA711</v>
      </c>
      <c r="F371" s="321">
        <v>36142.42</v>
      </c>
      <c r="G371" s="321">
        <v>22667.82</v>
      </c>
    </row>
    <row r="372" spans="1:8">
      <c r="A372" s="299">
        <v>7</v>
      </c>
      <c r="B372" s="672">
        <v>210500990000000</v>
      </c>
      <c r="C372" s="300" t="s">
        <v>3123</v>
      </c>
      <c r="D372" s="339"/>
      <c r="E372" s="339" t="str">
        <f>+E371</f>
        <v>ABA711</v>
      </c>
      <c r="F372" s="321"/>
      <c r="G372" s="321"/>
      <c r="H372" t="s">
        <v>3708</v>
      </c>
    </row>
    <row r="373" spans="1:8" ht="24">
      <c r="A373" s="299" t="s">
        <v>1951</v>
      </c>
      <c r="B373" s="678">
        <v>210500991000000</v>
      </c>
      <c r="C373" s="300" t="s">
        <v>3124</v>
      </c>
      <c r="D373" s="339"/>
      <c r="E373" s="339" t="str">
        <f>+E372</f>
        <v>ABA711</v>
      </c>
      <c r="F373" s="321"/>
      <c r="G373" s="321"/>
      <c r="H373" t="s">
        <v>3708</v>
      </c>
    </row>
    <row r="374" spans="1:8">
      <c r="A374" s="316" t="s">
        <v>1950</v>
      </c>
      <c r="B374" s="673" t="s">
        <v>3125</v>
      </c>
      <c r="C374" s="296" t="s">
        <v>3126</v>
      </c>
      <c r="D374" s="310"/>
      <c r="E374" s="310"/>
      <c r="F374" s="319"/>
      <c r="G374" s="319"/>
    </row>
    <row r="375" spans="1:8">
      <c r="A375" s="299" t="s">
        <v>1951</v>
      </c>
      <c r="B375" s="672">
        <v>110700500910000</v>
      </c>
      <c r="C375" s="300" t="s">
        <v>3127</v>
      </c>
      <c r="D375" s="339"/>
      <c r="E375" s="339" t="str">
        <f>+B374</f>
        <v>ABA712</v>
      </c>
      <c r="F375" s="321"/>
      <c r="G375" s="321"/>
    </row>
    <row r="376" spans="1:8" ht="25.5">
      <c r="A376" s="316" t="s">
        <v>1948</v>
      </c>
      <c r="B376" s="673" t="s">
        <v>3128</v>
      </c>
      <c r="C376" s="296" t="s">
        <v>3129</v>
      </c>
      <c r="D376" s="310"/>
      <c r="E376" s="310"/>
      <c r="F376" s="319"/>
      <c r="G376" s="319"/>
    </row>
    <row r="377" spans="1:8" ht="25.5">
      <c r="A377" s="316" t="s">
        <v>1950</v>
      </c>
      <c r="B377" s="673" t="s">
        <v>3130</v>
      </c>
      <c r="C377" s="296" t="s">
        <v>3131</v>
      </c>
      <c r="D377" s="310"/>
      <c r="E377" s="310"/>
      <c r="F377" s="319"/>
      <c r="G377" s="319"/>
    </row>
    <row r="378" spans="1:8" ht="24">
      <c r="A378" s="299" t="s">
        <v>1951</v>
      </c>
      <c r="B378" s="672">
        <v>110700600100000</v>
      </c>
      <c r="C378" s="300" t="s">
        <v>3132</v>
      </c>
      <c r="D378" s="339"/>
      <c r="E378" s="339" t="str">
        <f>+B377</f>
        <v>ABA714</v>
      </c>
      <c r="F378" s="321"/>
      <c r="G378" s="321"/>
    </row>
    <row r="379" spans="1:8">
      <c r="A379" s="316" t="s">
        <v>1950</v>
      </c>
      <c r="B379" s="673" t="s">
        <v>3133</v>
      </c>
      <c r="C379" s="296" t="s">
        <v>3134</v>
      </c>
      <c r="D379" s="310"/>
      <c r="E379" s="310"/>
      <c r="F379" s="319"/>
      <c r="G379" s="319"/>
    </row>
    <row r="380" spans="1:8">
      <c r="A380" s="299" t="s">
        <v>1951</v>
      </c>
      <c r="B380" s="672">
        <v>110700600200000</v>
      </c>
      <c r="C380" s="300" t="s">
        <v>3135</v>
      </c>
      <c r="D380" s="339"/>
      <c r="E380" s="339" t="str">
        <f>+B379</f>
        <v>ABA715</v>
      </c>
      <c r="F380" s="321"/>
      <c r="G380" s="321"/>
    </row>
    <row r="381" spans="1:8" ht="25.5">
      <c r="A381" s="316" t="s">
        <v>1944</v>
      </c>
      <c r="B381" s="673" t="s">
        <v>3136</v>
      </c>
      <c r="C381" s="296" t="s">
        <v>3137</v>
      </c>
      <c r="D381" s="310"/>
      <c r="E381" s="310"/>
      <c r="F381" s="319"/>
      <c r="G381" s="319"/>
    </row>
    <row r="382" spans="1:8">
      <c r="A382" s="316" t="s">
        <v>1946</v>
      </c>
      <c r="B382" s="673" t="s">
        <v>3138</v>
      </c>
      <c r="C382" s="296" t="s">
        <v>3139</v>
      </c>
      <c r="D382" s="310"/>
      <c r="E382" s="310"/>
      <c r="F382" s="319"/>
      <c r="G382" s="319"/>
    </row>
    <row r="383" spans="1:8">
      <c r="A383" s="299">
        <v>5</v>
      </c>
      <c r="B383" s="672">
        <v>120100100000000</v>
      </c>
      <c r="C383" s="300" t="s">
        <v>3140</v>
      </c>
      <c r="D383" s="339"/>
      <c r="E383" s="339" t="str">
        <f>+B382</f>
        <v>ABA730</v>
      </c>
      <c r="F383" s="321"/>
      <c r="G383" s="321"/>
    </row>
    <row r="384" spans="1:8">
      <c r="A384" s="299">
        <v>5</v>
      </c>
      <c r="B384" s="672">
        <v>120100200000000</v>
      </c>
      <c r="C384" s="300" t="s">
        <v>3141</v>
      </c>
      <c r="D384" s="339"/>
      <c r="E384" s="339" t="str">
        <f>+E383</f>
        <v>ABA730</v>
      </c>
      <c r="F384" s="321"/>
      <c r="G384" s="321"/>
    </row>
    <row r="385" spans="1:7">
      <c r="A385" s="299">
        <v>5</v>
      </c>
      <c r="B385" s="672">
        <v>120100300000000</v>
      </c>
      <c r="C385" s="300" t="s">
        <v>3142</v>
      </c>
      <c r="D385" s="339"/>
      <c r="E385" s="339" t="str">
        <f>+E384</f>
        <v>ABA730</v>
      </c>
      <c r="F385" s="321"/>
      <c r="G385" s="321"/>
    </row>
    <row r="386" spans="1:7">
      <c r="A386" s="316" t="s">
        <v>1946</v>
      </c>
      <c r="B386" s="673" t="s">
        <v>3143</v>
      </c>
      <c r="C386" s="296" t="s">
        <v>3144</v>
      </c>
      <c r="D386" s="310"/>
      <c r="E386" s="310"/>
      <c r="F386" s="319"/>
      <c r="G386" s="319"/>
    </row>
    <row r="387" spans="1:7">
      <c r="A387" s="299" t="s">
        <v>1948</v>
      </c>
      <c r="B387" s="672">
        <v>120200000000000</v>
      </c>
      <c r="C387" s="300" t="s">
        <v>3145</v>
      </c>
      <c r="D387" s="339"/>
      <c r="E387" s="339" t="str">
        <f>+B386</f>
        <v>ABA740</v>
      </c>
      <c r="F387" s="321"/>
      <c r="G387" s="321"/>
    </row>
    <row r="388" spans="1:7">
      <c r="A388" s="316" t="s">
        <v>1944</v>
      </c>
      <c r="B388" s="673" t="s">
        <v>3146</v>
      </c>
      <c r="C388" s="296" t="s">
        <v>3147</v>
      </c>
      <c r="D388" s="310"/>
      <c r="E388" s="310"/>
      <c r="F388" s="319"/>
      <c r="G388" s="319"/>
    </row>
    <row r="389" spans="1:7">
      <c r="A389" s="316" t="s">
        <v>1946</v>
      </c>
      <c r="B389" s="673" t="s">
        <v>3148</v>
      </c>
      <c r="C389" s="296" t="s">
        <v>3149</v>
      </c>
      <c r="D389" s="310"/>
      <c r="E389" s="310"/>
      <c r="F389" s="319"/>
      <c r="G389" s="319"/>
    </row>
    <row r="390" spans="1:7">
      <c r="A390" s="303">
        <v>5</v>
      </c>
      <c r="B390" s="675">
        <v>1301001000000</v>
      </c>
      <c r="C390" s="304" t="s">
        <v>3150</v>
      </c>
      <c r="D390" s="313"/>
      <c r="E390" s="313"/>
      <c r="F390" s="325"/>
      <c r="G390" s="325"/>
    </row>
    <row r="391" spans="1:7">
      <c r="A391" s="299">
        <v>6</v>
      </c>
      <c r="B391" s="672">
        <v>130100100100000</v>
      </c>
      <c r="C391" s="300" t="s">
        <v>3151</v>
      </c>
      <c r="D391" s="339"/>
      <c r="E391" s="339" t="str">
        <f>+B389</f>
        <v>ABA760</v>
      </c>
      <c r="F391" s="321">
        <v>1373.42</v>
      </c>
      <c r="G391" s="321">
        <v>1393.6</v>
      </c>
    </row>
    <row r="392" spans="1:7">
      <c r="A392" s="299">
        <v>6</v>
      </c>
      <c r="B392" s="672">
        <v>130100100200000</v>
      </c>
      <c r="C392" s="300" t="s">
        <v>3152</v>
      </c>
      <c r="D392" s="339"/>
      <c r="E392" s="339" t="str">
        <f>+E391</f>
        <v>ABA760</v>
      </c>
      <c r="F392" s="321"/>
      <c r="G392" s="321"/>
    </row>
    <row r="393" spans="1:7">
      <c r="A393" s="303">
        <v>5</v>
      </c>
      <c r="B393" s="675">
        <v>1301002000000</v>
      </c>
      <c r="C393" s="304" t="s">
        <v>3153</v>
      </c>
      <c r="D393" s="313"/>
      <c r="E393" s="313"/>
      <c r="F393" s="325"/>
      <c r="G393" s="325"/>
    </row>
    <row r="394" spans="1:7">
      <c r="A394" s="299">
        <v>6</v>
      </c>
      <c r="B394" s="672">
        <v>130100200100000</v>
      </c>
      <c r="C394" s="300" t="s">
        <v>3154</v>
      </c>
      <c r="D394" s="339"/>
      <c r="E394" s="339" t="str">
        <f>+E392</f>
        <v>ABA760</v>
      </c>
      <c r="F394" s="321"/>
      <c r="G394" s="321"/>
    </row>
    <row r="395" spans="1:7">
      <c r="A395" s="299">
        <v>6</v>
      </c>
      <c r="B395" s="672">
        <v>130100200200000</v>
      </c>
      <c r="C395" s="300" t="s">
        <v>3155</v>
      </c>
      <c r="D395" s="339"/>
      <c r="E395" s="339" t="str">
        <f>+E392</f>
        <v>ABA760</v>
      </c>
      <c r="F395" s="321"/>
      <c r="G395" s="321"/>
    </row>
    <row r="396" spans="1:7">
      <c r="A396" s="316" t="s">
        <v>1946</v>
      </c>
      <c r="B396" s="673" t="s">
        <v>3156</v>
      </c>
      <c r="C396" s="296" t="s">
        <v>3157</v>
      </c>
      <c r="D396" s="310"/>
      <c r="E396" s="310"/>
      <c r="F396" s="319"/>
      <c r="G396" s="319"/>
    </row>
    <row r="397" spans="1:7">
      <c r="A397" s="299">
        <v>5</v>
      </c>
      <c r="B397" s="672">
        <v>130200100000000</v>
      </c>
      <c r="C397" s="300" t="s">
        <v>3158</v>
      </c>
      <c r="D397" s="339"/>
      <c r="E397" s="339" t="str">
        <f>+B396</f>
        <v>ABA770</v>
      </c>
      <c r="F397" s="321">
        <v>32807352.829999998</v>
      </c>
      <c r="G397" s="321">
        <v>90474107.599999994</v>
      </c>
    </row>
    <row r="398" spans="1:7">
      <c r="A398" s="299">
        <v>5</v>
      </c>
      <c r="B398" s="672">
        <v>130200100000040</v>
      </c>
      <c r="C398" s="300" t="s">
        <v>3159</v>
      </c>
      <c r="D398" s="339"/>
      <c r="E398" s="339" t="str">
        <f>+E397</f>
        <v>ABA770</v>
      </c>
      <c r="F398" s="321">
        <v>0</v>
      </c>
      <c r="G398" s="321"/>
    </row>
    <row r="399" spans="1:7">
      <c r="A399" s="299">
        <v>5</v>
      </c>
      <c r="B399" s="672">
        <v>130200100000050</v>
      </c>
      <c r="C399" s="300" t="s">
        <v>3160</v>
      </c>
      <c r="D399" s="339"/>
      <c r="E399" s="339" t="str">
        <f>+E398</f>
        <v>ABA770</v>
      </c>
      <c r="F399" s="321">
        <v>0</v>
      </c>
      <c r="G399" s="321"/>
    </row>
    <row r="400" spans="1:7">
      <c r="A400" s="299">
        <v>5</v>
      </c>
      <c r="B400" s="672">
        <v>130200110000000</v>
      </c>
      <c r="C400" s="300" t="s">
        <v>3161</v>
      </c>
      <c r="D400" s="339"/>
      <c r="E400" s="339" t="str">
        <f>+E399</f>
        <v>ABA770</v>
      </c>
      <c r="F400" s="321"/>
      <c r="G400" s="321"/>
    </row>
    <row r="401" spans="1:8">
      <c r="A401" s="299">
        <v>5</v>
      </c>
      <c r="B401" s="672">
        <v>130200200000000</v>
      </c>
      <c r="C401" s="300" t="s">
        <v>3162</v>
      </c>
      <c r="D401" s="339"/>
      <c r="E401" s="339" t="str">
        <f>+E400</f>
        <v>ABA770</v>
      </c>
      <c r="F401" s="321"/>
      <c r="G401" s="321"/>
    </row>
    <row r="402" spans="1:8">
      <c r="A402" s="316" t="s">
        <v>1946</v>
      </c>
      <c r="B402" s="673" t="s">
        <v>3163</v>
      </c>
      <c r="C402" s="296" t="s">
        <v>3164</v>
      </c>
      <c r="D402" s="310"/>
      <c r="E402" s="310"/>
      <c r="F402" s="319"/>
      <c r="G402" s="319"/>
    </row>
    <row r="403" spans="1:8">
      <c r="A403" s="299" t="s">
        <v>1948</v>
      </c>
      <c r="B403" s="672">
        <v>130300000000000</v>
      </c>
      <c r="C403" s="300" t="s">
        <v>3165</v>
      </c>
      <c r="D403" s="339"/>
      <c r="E403" s="339" t="str">
        <f>+B402</f>
        <v>ABA780</v>
      </c>
      <c r="F403" s="321"/>
      <c r="G403" s="321"/>
    </row>
    <row r="404" spans="1:8">
      <c r="A404" s="316" t="s">
        <v>1946</v>
      </c>
      <c r="B404" s="673" t="s">
        <v>3166</v>
      </c>
      <c r="C404" s="296" t="s">
        <v>3167</v>
      </c>
      <c r="D404" s="310"/>
      <c r="E404" s="310"/>
      <c r="F404" s="319"/>
      <c r="G404" s="319"/>
    </row>
    <row r="405" spans="1:8">
      <c r="A405" s="299">
        <v>5</v>
      </c>
      <c r="B405" s="672">
        <v>130400100000000</v>
      </c>
      <c r="C405" s="300" t="s">
        <v>3168</v>
      </c>
      <c r="D405" s="339"/>
      <c r="E405" s="339" t="str">
        <f>+B404</f>
        <v>ABA790</v>
      </c>
      <c r="F405" s="321"/>
      <c r="G405" s="321"/>
    </row>
    <row r="406" spans="1:8">
      <c r="A406" s="299">
        <v>5</v>
      </c>
      <c r="B406" s="672">
        <v>130400110000000</v>
      </c>
      <c r="C406" s="300" t="s">
        <v>3169</v>
      </c>
      <c r="D406" s="339"/>
      <c r="E406" s="339" t="str">
        <f>+E405</f>
        <v>ABA790</v>
      </c>
      <c r="F406" s="321"/>
      <c r="G406" s="321"/>
    </row>
    <row r="407" spans="1:8">
      <c r="A407" s="299">
        <v>5</v>
      </c>
      <c r="B407" s="672">
        <v>130400120000000</v>
      </c>
      <c r="C407" s="300" t="s">
        <v>3170</v>
      </c>
      <c r="D407" s="339"/>
      <c r="E407" s="339" t="str">
        <f>+E406</f>
        <v>ABA790</v>
      </c>
      <c r="F407" s="321"/>
      <c r="G407" s="321"/>
    </row>
    <row r="408" spans="1:8">
      <c r="A408" s="299">
        <v>5</v>
      </c>
      <c r="B408" s="672">
        <v>130400130000000</v>
      </c>
      <c r="C408" s="300" t="s">
        <v>3171</v>
      </c>
      <c r="D408" s="339"/>
      <c r="E408" s="339" t="str">
        <f>+E407</f>
        <v>ABA790</v>
      </c>
      <c r="F408" s="321"/>
      <c r="G408" s="321"/>
    </row>
    <row r="409" spans="1:8">
      <c r="A409" s="299">
        <v>5</v>
      </c>
      <c r="B409" s="672">
        <v>130400200000000</v>
      </c>
      <c r="C409" s="300" t="s">
        <v>3172</v>
      </c>
      <c r="D409" s="339"/>
      <c r="E409" s="339" t="str">
        <f>+E408</f>
        <v>ABA790</v>
      </c>
      <c r="F409" s="321"/>
      <c r="G409" s="321"/>
    </row>
    <row r="410" spans="1:8">
      <c r="A410" s="303">
        <v>4</v>
      </c>
      <c r="B410" s="675">
        <v>1309000000000</v>
      </c>
      <c r="C410" s="304" t="s">
        <v>3173</v>
      </c>
      <c r="D410" s="313"/>
      <c r="E410" s="313"/>
      <c r="F410" s="325"/>
      <c r="G410" s="325"/>
    </row>
    <row r="411" spans="1:8">
      <c r="A411" s="299">
        <v>5</v>
      </c>
      <c r="B411" s="672">
        <v>130900100000000</v>
      </c>
      <c r="C411" s="300" t="s">
        <v>3174</v>
      </c>
      <c r="D411" s="339"/>
      <c r="E411" s="339" t="str">
        <f>+B404</f>
        <v>ABA790</v>
      </c>
      <c r="F411" s="321">
        <v>0</v>
      </c>
      <c r="G411" s="321"/>
    </row>
    <row r="412" spans="1:8">
      <c r="A412" s="299">
        <v>5</v>
      </c>
      <c r="B412" s="672">
        <v>130900200000000</v>
      </c>
      <c r="C412" s="300" t="s">
        <v>3175</v>
      </c>
      <c r="D412" s="339"/>
      <c r="E412" s="339" t="str">
        <f>+E411</f>
        <v>ABA790</v>
      </c>
      <c r="F412" s="321">
        <v>0</v>
      </c>
      <c r="G412" s="321"/>
    </row>
    <row r="413" spans="1:8">
      <c r="A413" s="299">
        <v>5</v>
      </c>
      <c r="B413" s="672">
        <v>130900300000000</v>
      </c>
      <c r="C413" s="300" t="s">
        <v>3176</v>
      </c>
      <c r="D413" s="339"/>
      <c r="E413" s="339" t="str">
        <f t="shared" ref="E413:E422" si="3">+E412</f>
        <v>ABA790</v>
      </c>
      <c r="F413" s="321">
        <v>0</v>
      </c>
      <c r="G413" s="321"/>
      <c r="H413" s="214"/>
    </row>
    <row r="414" spans="1:8">
      <c r="A414" s="299">
        <v>5</v>
      </c>
      <c r="B414" s="672">
        <v>130900301000000</v>
      </c>
      <c r="C414" s="300" t="s">
        <v>3177</v>
      </c>
      <c r="D414" s="339"/>
      <c r="E414" s="339" t="str">
        <f t="shared" si="3"/>
        <v>ABA790</v>
      </c>
      <c r="F414" s="321"/>
      <c r="G414" s="321"/>
    </row>
    <row r="415" spans="1:8">
      <c r="A415" s="299">
        <v>5</v>
      </c>
      <c r="B415" s="672">
        <v>130900302000000</v>
      </c>
      <c r="C415" s="300" t="s">
        <v>3178</v>
      </c>
      <c r="D415" s="339"/>
      <c r="E415" s="339" t="str">
        <f t="shared" si="3"/>
        <v>ABA790</v>
      </c>
      <c r="F415" s="321">
        <v>0</v>
      </c>
      <c r="G415" s="321"/>
    </row>
    <row r="416" spans="1:8">
      <c r="A416" s="299">
        <v>5</v>
      </c>
      <c r="B416" s="672">
        <v>130900303000000</v>
      </c>
      <c r="C416" s="300" t="s">
        <v>3179</v>
      </c>
      <c r="D416" s="339"/>
      <c r="E416" s="339" t="str">
        <f t="shared" si="3"/>
        <v>ABA790</v>
      </c>
      <c r="F416" s="321">
        <v>0</v>
      </c>
      <c r="G416" s="321"/>
    </row>
    <row r="417" spans="1:7">
      <c r="A417" s="299">
        <v>5</v>
      </c>
      <c r="B417" s="672">
        <v>130900304000000</v>
      </c>
      <c r="C417" s="300" t="s">
        <v>3180</v>
      </c>
      <c r="D417" s="339"/>
      <c r="E417" s="339" t="str">
        <f t="shared" si="3"/>
        <v>ABA790</v>
      </c>
      <c r="F417" s="321"/>
      <c r="G417" s="321"/>
    </row>
    <row r="418" spans="1:7">
      <c r="A418" s="299">
        <v>5</v>
      </c>
      <c r="B418" s="672">
        <v>130900305000000</v>
      </c>
      <c r="C418" s="300" t="s">
        <v>3181</v>
      </c>
      <c r="D418" s="339"/>
      <c r="E418" s="339" t="str">
        <f t="shared" si="3"/>
        <v>ABA790</v>
      </c>
      <c r="F418" s="321">
        <v>0</v>
      </c>
      <c r="G418" s="321"/>
    </row>
    <row r="419" spans="1:7">
      <c r="A419" s="299">
        <v>5</v>
      </c>
      <c r="B419" s="672">
        <v>130900306000000</v>
      </c>
      <c r="C419" s="300" t="s">
        <v>3182</v>
      </c>
      <c r="D419" s="339"/>
      <c r="E419" s="339" t="str">
        <f t="shared" si="3"/>
        <v>ABA790</v>
      </c>
      <c r="F419" s="321">
        <v>0</v>
      </c>
      <c r="G419" s="321"/>
    </row>
    <row r="420" spans="1:7">
      <c r="A420" s="299">
        <v>5</v>
      </c>
      <c r="B420" s="672">
        <v>130900307000000</v>
      </c>
      <c r="C420" s="300" t="s">
        <v>3183</v>
      </c>
      <c r="D420" s="339"/>
      <c r="E420" s="339" t="str">
        <f t="shared" si="3"/>
        <v>ABA790</v>
      </c>
      <c r="F420" s="321"/>
      <c r="G420" s="321"/>
    </row>
    <row r="421" spans="1:7">
      <c r="A421" s="299">
        <v>5</v>
      </c>
      <c r="B421" s="672">
        <v>130900308000000</v>
      </c>
      <c r="C421" s="300" t="s">
        <v>3184</v>
      </c>
      <c r="D421" s="339"/>
      <c r="E421" s="339" t="str">
        <f t="shared" si="3"/>
        <v>ABA790</v>
      </c>
      <c r="F421" s="321">
        <v>0</v>
      </c>
      <c r="G421" s="321"/>
    </row>
    <row r="422" spans="1:7">
      <c r="A422" s="299">
        <v>5</v>
      </c>
      <c r="B422" s="672">
        <v>130900309000000</v>
      </c>
      <c r="C422" s="300" t="s">
        <v>3185</v>
      </c>
      <c r="D422" s="339"/>
      <c r="E422" s="339" t="str">
        <f t="shared" si="3"/>
        <v>ABA790</v>
      </c>
      <c r="F422" s="321"/>
      <c r="G422" s="321"/>
    </row>
    <row r="423" spans="1:7">
      <c r="A423" s="316" t="s">
        <v>1941</v>
      </c>
      <c r="B423" s="673" t="s">
        <v>3186</v>
      </c>
      <c r="C423" s="296" t="s">
        <v>3187</v>
      </c>
      <c r="D423" s="310"/>
      <c r="E423" s="310"/>
      <c r="F423" s="319"/>
      <c r="G423" s="319"/>
    </row>
    <row r="424" spans="1:7">
      <c r="A424" s="316" t="s">
        <v>1944</v>
      </c>
      <c r="B424" s="673" t="s">
        <v>3188</v>
      </c>
      <c r="C424" s="296" t="s">
        <v>3189</v>
      </c>
      <c r="D424" s="310"/>
      <c r="E424" s="310"/>
      <c r="F424" s="319"/>
      <c r="G424" s="319"/>
    </row>
    <row r="425" spans="1:7">
      <c r="A425" s="316" t="s">
        <v>1946</v>
      </c>
      <c r="B425" s="673" t="s">
        <v>3190</v>
      </c>
      <c r="C425" s="296" t="s">
        <v>3191</v>
      </c>
      <c r="D425" s="310"/>
      <c r="E425" s="310"/>
      <c r="F425" s="319"/>
      <c r="G425" s="319"/>
    </row>
    <row r="426" spans="1:7">
      <c r="A426" s="299" t="s">
        <v>1948</v>
      </c>
      <c r="B426" s="672">
        <v>140100100000000</v>
      </c>
      <c r="C426" s="300" t="s">
        <v>3192</v>
      </c>
      <c r="D426" s="339"/>
      <c r="E426" s="339" t="str">
        <f>+B425</f>
        <v>ACA010</v>
      </c>
      <c r="F426" s="321"/>
      <c r="G426" s="321"/>
    </row>
    <row r="427" spans="1:7">
      <c r="A427" s="316" t="s">
        <v>1946</v>
      </c>
      <c r="B427" s="673" t="s">
        <v>3193</v>
      </c>
      <c r="C427" s="296" t="s">
        <v>3194</v>
      </c>
      <c r="D427" s="310" t="s">
        <v>1238</v>
      </c>
      <c r="E427" s="310"/>
      <c r="F427" s="319"/>
      <c r="G427" s="319"/>
    </row>
    <row r="428" spans="1:7">
      <c r="A428" s="299" t="s">
        <v>1948</v>
      </c>
      <c r="B428" s="672">
        <v>140100200000000</v>
      </c>
      <c r="C428" s="300" t="s">
        <v>3195</v>
      </c>
      <c r="D428" s="339" t="s">
        <v>1238</v>
      </c>
      <c r="E428" s="339" t="str">
        <f>+B427</f>
        <v>ACA020</v>
      </c>
      <c r="F428" s="321"/>
      <c r="G428" s="321"/>
    </row>
    <row r="429" spans="1:7">
      <c r="A429" s="316" t="s">
        <v>1944</v>
      </c>
      <c r="B429" s="673" t="s">
        <v>3196</v>
      </c>
      <c r="C429" s="296" t="s">
        <v>3197</v>
      </c>
      <c r="D429" s="310"/>
      <c r="E429" s="310"/>
      <c r="F429" s="319"/>
      <c r="G429" s="319"/>
    </row>
    <row r="430" spans="1:7">
      <c r="A430" s="316" t="s">
        <v>1946</v>
      </c>
      <c r="B430" s="673" t="s">
        <v>3198</v>
      </c>
      <c r="C430" s="296" t="s">
        <v>3199</v>
      </c>
      <c r="D430" s="310"/>
      <c r="E430" s="310"/>
      <c r="F430" s="319"/>
      <c r="G430" s="319"/>
    </row>
    <row r="431" spans="1:7">
      <c r="A431" s="299" t="s">
        <v>1948</v>
      </c>
      <c r="B431" s="672">
        <v>140200100000000</v>
      </c>
      <c r="C431" s="300" t="s">
        <v>3200</v>
      </c>
      <c r="D431" s="339"/>
      <c r="E431" s="339" t="str">
        <f>+B430</f>
        <v>ACA040</v>
      </c>
      <c r="F431" s="321">
        <v>1841598.81</v>
      </c>
      <c r="G431" s="321">
        <v>1307749.99</v>
      </c>
    </row>
    <row r="432" spans="1:7">
      <c r="A432" s="316" t="s">
        <v>1946</v>
      </c>
      <c r="B432" s="673" t="s">
        <v>3201</v>
      </c>
      <c r="C432" s="296" t="s">
        <v>3202</v>
      </c>
      <c r="D432" s="310" t="s">
        <v>1238</v>
      </c>
      <c r="E432" s="310"/>
      <c r="F432" s="319"/>
      <c r="G432" s="319"/>
    </row>
    <row r="433" spans="1:7">
      <c r="A433" s="299" t="s">
        <v>1948</v>
      </c>
      <c r="B433" s="672">
        <v>140200200000000</v>
      </c>
      <c r="C433" s="300" t="s">
        <v>3203</v>
      </c>
      <c r="D433" s="339" t="s">
        <v>1238</v>
      </c>
      <c r="E433" s="339" t="str">
        <f>+B432</f>
        <v>ACA050</v>
      </c>
      <c r="F433" s="321"/>
      <c r="G433" s="321"/>
    </row>
    <row r="434" spans="1:7" s="331" customFormat="1">
      <c r="A434" s="345" t="s">
        <v>1941</v>
      </c>
      <c r="B434" s="679" t="s">
        <v>3204</v>
      </c>
      <c r="C434" s="346" t="s">
        <v>3205</v>
      </c>
      <c r="D434" s="347"/>
      <c r="E434" s="347"/>
      <c r="F434" s="348">
        <f>SUM(F7:F433)</f>
        <v>249702444.94999993</v>
      </c>
      <c r="G434" s="348">
        <f>SUM(G7:G433)</f>
        <v>197485657.71999997</v>
      </c>
    </row>
    <row r="435" spans="1:7">
      <c r="A435" s="316" t="s">
        <v>1941</v>
      </c>
      <c r="B435" s="673" t="s">
        <v>3206</v>
      </c>
      <c r="C435" s="296" t="s">
        <v>3207</v>
      </c>
      <c r="D435" s="310"/>
      <c r="E435" s="310"/>
      <c r="F435" s="319"/>
      <c r="G435" s="319"/>
    </row>
    <row r="436" spans="1:7">
      <c r="A436" s="316" t="s">
        <v>1944</v>
      </c>
      <c r="B436" s="673" t="s">
        <v>3208</v>
      </c>
      <c r="C436" s="296" t="s">
        <v>3209</v>
      </c>
      <c r="D436" s="310"/>
      <c r="E436" s="310"/>
      <c r="F436" s="319"/>
      <c r="G436" s="319"/>
    </row>
    <row r="437" spans="1:7">
      <c r="A437" s="299" t="s">
        <v>1946</v>
      </c>
      <c r="B437" s="672">
        <v>195100000000000</v>
      </c>
      <c r="C437" s="300" t="s">
        <v>3210</v>
      </c>
      <c r="D437" s="339"/>
      <c r="E437" s="339" t="str">
        <f>+B436</f>
        <v>ADA000</v>
      </c>
      <c r="F437" s="321"/>
      <c r="G437" s="321"/>
    </row>
    <row r="438" spans="1:7">
      <c r="A438" s="316" t="s">
        <v>1944</v>
      </c>
      <c r="B438" s="673" t="s">
        <v>3211</v>
      </c>
      <c r="C438" s="296" t="s">
        <v>3212</v>
      </c>
      <c r="D438" s="310"/>
      <c r="E438" s="310"/>
      <c r="F438" s="319"/>
      <c r="G438" s="319"/>
    </row>
    <row r="439" spans="1:7">
      <c r="A439" s="299" t="s">
        <v>1946</v>
      </c>
      <c r="B439" s="672">
        <v>195200000000000</v>
      </c>
      <c r="C439" s="300" t="s">
        <v>3213</v>
      </c>
      <c r="D439" s="339"/>
      <c r="E439" s="339" t="str">
        <f>+B438</f>
        <v>ADA010</v>
      </c>
      <c r="F439" s="321"/>
      <c r="G439" s="321"/>
    </row>
    <row r="440" spans="1:7">
      <c r="A440" s="316" t="s">
        <v>1944</v>
      </c>
      <c r="B440" s="673" t="s">
        <v>3214</v>
      </c>
      <c r="C440" s="296" t="s">
        <v>3215</v>
      </c>
      <c r="D440" s="310"/>
      <c r="E440" s="310"/>
      <c r="F440" s="319"/>
      <c r="G440" s="319"/>
    </row>
    <row r="441" spans="1:7">
      <c r="A441" s="299" t="s">
        <v>1946</v>
      </c>
      <c r="B441" s="672">
        <v>195300000000000</v>
      </c>
      <c r="C441" s="300" t="s">
        <v>3216</v>
      </c>
      <c r="D441" s="339"/>
      <c r="E441" s="339" t="str">
        <f>+B440</f>
        <v>ADA020</v>
      </c>
      <c r="F441" s="321">
        <v>347396.87</v>
      </c>
      <c r="G441" s="321">
        <v>347396.87</v>
      </c>
    </row>
    <row r="442" spans="1:7">
      <c r="A442" s="316" t="s">
        <v>1944</v>
      </c>
      <c r="B442" s="673" t="s">
        <v>3217</v>
      </c>
      <c r="C442" s="296" t="s">
        <v>3218</v>
      </c>
      <c r="D442" s="310"/>
      <c r="E442" s="310"/>
      <c r="F442" s="319"/>
      <c r="G442" s="319"/>
    </row>
    <row r="443" spans="1:7">
      <c r="A443" s="299" t="s">
        <v>1946</v>
      </c>
      <c r="B443" s="672">
        <v>195350000000000</v>
      </c>
      <c r="C443" s="300" t="s">
        <v>3219</v>
      </c>
      <c r="D443" s="339"/>
      <c r="E443" s="339" t="str">
        <f>+B442</f>
        <v>ADA021</v>
      </c>
      <c r="F443" s="321"/>
      <c r="G443" s="321"/>
    </row>
    <row r="444" spans="1:7">
      <c r="A444" s="316" t="s">
        <v>1944</v>
      </c>
      <c r="B444" s="673" t="s">
        <v>3220</v>
      </c>
      <c r="C444" s="296" t="s">
        <v>3221</v>
      </c>
      <c r="D444" s="310"/>
      <c r="E444" s="310"/>
      <c r="F444" s="319"/>
      <c r="G444" s="319"/>
    </row>
    <row r="445" spans="1:7">
      <c r="A445" s="299">
        <v>4</v>
      </c>
      <c r="B445" s="672">
        <v>195400100000000</v>
      </c>
      <c r="C445" s="300" t="s">
        <v>3222</v>
      </c>
      <c r="D445" s="339"/>
      <c r="E445" s="339" t="str">
        <f>+B444</f>
        <v>ADA030</v>
      </c>
      <c r="F445" s="321"/>
      <c r="G445" s="321"/>
    </row>
    <row r="446" spans="1:7" ht="24">
      <c r="A446" s="299">
        <v>4</v>
      </c>
      <c r="B446" s="672">
        <v>195400200000000</v>
      </c>
      <c r="C446" s="300" t="s">
        <v>3223</v>
      </c>
      <c r="D446" s="339"/>
      <c r="E446" s="339" t="str">
        <f>+E445</f>
        <v>ADA030</v>
      </c>
      <c r="F446" s="321"/>
      <c r="G446" s="321"/>
    </row>
    <row r="447" spans="1:7" ht="24">
      <c r="A447" s="299">
        <v>4</v>
      </c>
      <c r="B447" s="672">
        <v>195400300000000</v>
      </c>
      <c r="C447" s="300" t="s">
        <v>3224</v>
      </c>
      <c r="D447" s="339"/>
      <c r="E447" s="339" t="str">
        <f t="shared" ref="E447:E449" si="4">+E446</f>
        <v>ADA030</v>
      </c>
      <c r="F447" s="321"/>
      <c r="G447" s="321"/>
    </row>
    <row r="448" spans="1:7">
      <c r="A448" s="299">
        <v>4</v>
      </c>
      <c r="B448" s="672">
        <v>195400400000000</v>
      </c>
      <c r="C448" s="300" t="s">
        <v>3225</v>
      </c>
      <c r="D448" s="339"/>
      <c r="E448" s="339" t="str">
        <f t="shared" si="4"/>
        <v>ADA030</v>
      </c>
      <c r="F448" s="321"/>
      <c r="G448" s="321"/>
    </row>
    <row r="449" spans="1:7">
      <c r="A449" s="299">
        <v>4</v>
      </c>
      <c r="B449" s="672">
        <v>195400900000000</v>
      </c>
      <c r="C449" s="300" t="s">
        <v>3226</v>
      </c>
      <c r="D449" s="339"/>
      <c r="E449" s="339" t="str">
        <f t="shared" si="4"/>
        <v>ADA030</v>
      </c>
      <c r="F449" s="321"/>
      <c r="G449" s="321"/>
    </row>
    <row r="450" spans="1:7">
      <c r="F450" s="208">
        <f>+F434-'8. Alimentazione SP P'!F300</f>
        <v>-3.5998821258544922E-3</v>
      </c>
      <c r="G450" s="208">
        <f>+G434-'8. Alimentazione SP P'!G300</f>
        <v>0</v>
      </c>
    </row>
  </sheetData>
  <autoFilter ref="A1:H450"/>
  <conditionalFormatting sqref="C2">
    <cfRule type="duplicateValues" dxfId="191" priority="1"/>
  </conditionalFormatting>
  <conditionalFormatting sqref="C98">
    <cfRule type="duplicateValues" dxfId="190" priority="3"/>
  </conditionalFormatting>
  <conditionalFormatting sqref="C189">
    <cfRule type="duplicateValues" dxfId="189" priority="2"/>
  </conditionalFormatting>
  <conditionalFormatting sqref="C339">
    <cfRule type="duplicateValues" dxfId="188" priority="4"/>
  </conditionalFormatting>
  <conditionalFormatting sqref="C340:C449 C99:C188 C3:C97 C190:C338">
    <cfRule type="duplicateValues" dxfId="187" priority="5"/>
  </conditionalFormatting>
  <pageMargins left="0.70866141732283472" right="0.70866141732283472" top="0.74803149606299213" bottom="0.74803149606299213" header="0.31496062992125984" footer="0.31496062992125984"/>
  <pageSetup paperSize="9" scale="68" firstPageNumber="83" fitToHeight="10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7"/>
  <sheetViews>
    <sheetView topLeftCell="B1" workbookViewId="0">
      <pane ySplit="1" topLeftCell="A296" activePane="bottomLeft" state="frozen"/>
      <selection activeCell="D121" sqref="D121"/>
      <selection pane="bottomLeft" activeCell="B28" sqref="B28"/>
    </sheetView>
  </sheetViews>
  <sheetFormatPr defaultRowHeight="12.75"/>
  <cols>
    <col min="1" max="1" width="6.140625" bestFit="1" customWidth="1"/>
    <col min="2" max="2" width="19.28515625" customWidth="1"/>
    <col min="3" max="3" width="74" customWidth="1"/>
    <col min="4" max="4" width="8.42578125" bestFit="1" customWidth="1"/>
    <col min="5" max="5" width="8.42578125" hidden="1" customWidth="1"/>
    <col min="6" max="7" width="20.42578125" style="208" customWidth="1"/>
    <col min="8" max="9" width="14.42578125" bestFit="1" customWidth="1"/>
    <col min="10" max="10" width="15" bestFit="1" customWidth="1"/>
  </cols>
  <sheetData>
    <row r="1" spans="1:7" ht="26.25" thickBot="1">
      <c r="A1" s="207" t="s">
        <v>120</v>
      </c>
      <c r="B1" s="293" t="s">
        <v>2029</v>
      </c>
      <c r="C1" s="293" t="s">
        <v>121</v>
      </c>
      <c r="D1" s="293" t="s">
        <v>1921</v>
      </c>
      <c r="E1" s="293"/>
      <c r="F1" s="294" t="s">
        <v>2590</v>
      </c>
      <c r="G1" s="294" t="s">
        <v>2591</v>
      </c>
    </row>
    <row r="2" spans="1:7">
      <c r="A2" s="316" t="s">
        <v>1827</v>
      </c>
      <c r="B2" s="337" t="s">
        <v>3227</v>
      </c>
      <c r="C2" s="337" t="s">
        <v>3228</v>
      </c>
      <c r="D2" s="338"/>
      <c r="E2" s="338"/>
      <c r="F2" s="344"/>
      <c r="G2" s="344"/>
    </row>
    <row r="3" spans="1:7">
      <c r="A3" s="316" t="s">
        <v>1941</v>
      </c>
      <c r="B3" s="296" t="s">
        <v>3229</v>
      </c>
      <c r="C3" s="296" t="s">
        <v>3230</v>
      </c>
      <c r="D3" s="310"/>
      <c r="E3" s="310"/>
      <c r="F3" s="319"/>
      <c r="G3" s="319"/>
    </row>
    <row r="4" spans="1:7">
      <c r="A4" s="316" t="s">
        <v>1944</v>
      </c>
      <c r="B4" s="296" t="s">
        <v>3231</v>
      </c>
      <c r="C4" s="296" t="s">
        <v>3232</v>
      </c>
      <c r="D4" s="310"/>
      <c r="E4" s="310"/>
      <c r="F4" s="319"/>
      <c r="G4" s="319"/>
    </row>
    <row r="5" spans="1:7">
      <c r="A5" s="299" t="s">
        <v>1946</v>
      </c>
      <c r="B5" s="672">
        <v>200100000000000</v>
      </c>
      <c r="C5" s="300" t="s">
        <v>3233</v>
      </c>
      <c r="D5" s="339"/>
      <c r="E5" s="339" t="str">
        <f>+B4</f>
        <v>PAA000</v>
      </c>
      <c r="F5" s="321"/>
      <c r="G5" s="321"/>
    </row>
    <row r="6" spans="1:7">
      <c r="A6" s="316" t="s">
        <v>1944</v>
      </c>
      <c r="B6" s="673" t="s">
        <v>3234</v>
      </c>
      <c r="C6" s="296" t="s">
        <v>3235</v>
      </c>
      <c r="D6" s="310"/>
      <c r="E6" s="310"/>
      <c r="F6" s="319"/>
      <c r="G6" s="319"/>
    </row>
    <row r="7" spans="1:7">
      <c r="A7" s="316" t="s">
        <v>1946</v>
      </c>
      <c r="B7" s="673" t="s">
        <v>3236</v>
      </c>
      <c r="C7" s="296" t="s">
        <v>3237</v>
      </c>
      <c r="D7" s="310"/>
      <c r="E7" s="310"/>
      <c r="F7" s="319"/>
      <c r="G7" s="319"/>
    </row>
    <row r="8" spans="1:7">
      <c r="A8" s="299" t="s">
        <v>1948</v>
      </c>
      <c r="B8" s="672">
        <v>200200100000000</v>
      </c>
      <c r="C8" s="300" t="s">
        <v>3238</v>
      </c>
      <c r="D8" s="339"/>
      <c r="E8" s="339" t="str">
        <f>+B7</f>
        <v>PAA020</v>
      </c>
      <c r="F8" s="321"/>
      <c r="G8" s="321"/>
    </row>
    <row r="9" spans="1:7">
      <c r="A9" s="316" t="s">
        <v>1946</v>
      </c>
      <c r="B9" s="673" t="s">
        <v>3239</v>
      </c>
      <c r="C9" s="296" t="s">
        <v>3240</v>
      </c>
      <c r="D9" s="310"/>
      <c r="E9" s="310"/>
      <c r="F9" s="319"/>
      <c r="G9" s="319"/>
    </row>
    <row r="10" spans="1:7">
      <c r="A10" s="316" t="s">
        <v>1948</v>
      </c>
      <c r="B10" s="673" t="s">
        <v>3241</v>
      </c>
      <c r="C10" s="296" t="s">
        <v>3242</v>
      </c>
      <c r="D10" s="310"/>
      <c r="E10" s="310"/>
      <c r="F10" s="319"/>
      <c r="G10" s="319"/>
    </row>
    <row r="11" spans="1:7">
      <c r="A11" s="299" t="s">
        <v>1950</v>
      </c>
      <c r="B11" s="672">
        <v>200200200100000</v>
      </c>
      <c r="C11" s="300" t="s">
        <v>3243</v>
      </c>
      <c r="D11" s="339"/>
      <c r="E11" s="339" t="str">
        <f>+B10</f>
        <v>PAA040</v>
      </c>
      <c r="F11" s="321"/>
      <c r="G11" s="321"/>
    </row>
    <row r="12" spans="1:7">
      <c r="A12" s="316" t="s">
        <v>1948</v>
      </c>
      <c r="B12" s="673" t="s">
        <v>3244</v>
      </c>
      <c r="C12" s="296" t="s">
        <v>3245</v>
      </c>
      <c r="D12" s="310"/>
      <c r="E12" s="310"/>
      <c r="F12" s="319"/>
      <c r="G12" s="319"/>
    </row>
    <row r="13" spans="1:7">
      <c r="A13" s="299" t="s">
        <v>1950</v>
      </c>
      <c r="B13" s="672">
        <v>200200200200000</v>
      </c>
      <c r="C13" s="300" t="s">
        <v>3246</v>
      </c>
      <c r="D13" s="339"/>
      <c r="E13" s="339" t="str">
        <f>+B12</f>
        <v>PAA050</v>
      </c>
      <c r="F13" s="321"/>
      <c r="G13" s="321"/>
    </row>
    <row r="14" spans="1:7">
      <c r="A14" s="316" t="s">
        <v>1948</v>
      </c>
      <c r="B14" s="673" t="s">
        <v>3247</v>
      </c>
      <c r="C14" s="296" t="s">
        <v>3248</v>
      </c>
      <c r="D14" s="310"/>
      <c r="E14" s="310"/>
      <c r="F14" s="319"/>
      <c r="G14" s="319"/>
    </row>
    <row r="15" spans="1:7">
      <c r="A15" s="299" t="s">
        <v>1950</v>
      </c>
      <c r="B15" s="672">
        <v>200200200300000</v>
      </c>
      <c r="C15" s="300" t="s">
        <v>3249</v>
      </c>
      <c r="D15" s="339"/>
      <c r="E15" s="339" t="str">
        <f>+B14</f>
        <v>PAA060</v>
      </c>
      <c r="F15" s="321"/>
      <c r="G15" s="321"/>
    </row>
    <row r="16" spans="1:7">
      <c r="A16" s="316" t="s">
        <v>1946</v>
      </c>
      <c r="B16" s="673" t="s">
        <v>3250</v>
      </c>
      <c r="C16" s="296" t="s">
        <v>3251</v>
      </c>
      <c r="D16" s="310"/>
      <c r="E16" s="310"/>
      <c r="F16" s="319"/>
      <c r="G16" s="319"/>
    </row>
    <row r="17" spans="1:10">
      <c r="A17" s="299">
        <v>5</v>
      </c>
      <c r="B17" s="672">
        <v>200200300100000</v>
      </c>
      <c r="C17" s="300" t="s">
        <v>3252</v>
      </c>
      <c r="D17" s="339"/>
      <c r="E17" s="339" t="str">
        <f>+B16</f>
        <v>PAA070</v>
      </c>
      <c r="F17" s="321">
        <v>807077.27</v>
      </c>
      <c r="G17" s="321">
        <v>889980.72</v>
      </c>
      <c r="I17" s="676"/>
    </row>
    <row r="18" spans="1:10">
      <c r="A18" s="299">
        <v>5</v>
      </c>
      <c r="B18" s="672">
        <v>200200300200000</v>
      </c>
      <c r="C18" s="300" t="s">
        <v>3253</v>
      </c>
      <c r="D18" s="339"/>
      <c r="E18" s="339" t="str">
        <f>+E17</f>
        <v>PAA070</v>
      </c>
      <c r="F18" s="321"/>
      <c r="G18" s="321"/>
      <c r="J18" s="680"/>
    </row>
    <row r="19" spans="1:10">
      <c r="A19" s="316" t="s">
        <v>1946</v>
      </c>
      <c r="B19" s="673" t="s">
        <v>3254</v>
      </c>
      <c r="C19" s="296" t="s">
        <v>3255</v>
      </c>
      <c r="D19" s="310"/>
      <c r="E19" s="310"/>
      <c r="F19" s="319"/>
      <c r="G19" s="319"/>
      <c r="J19" s="681"/>
    </row>
    <row r="20" spans="1:10">
      <c r="A20" s="299">
        <v>5</v>
      </c>
      <c r="B20" s="672">
        <v>200200400100000</v>
      </c>
      <c r="C20" s="300" t="s">
        <v>3256</v>
      </c>
      <c r="D20" s="339"/>
      <c r="E20" s="339" t="str">
        <f>+B19</f>
        <v>PAA080</v>
      </c>
      <c r="F20" s="321"/>
      <c r="G20" s="321"/>
    </row>
    <row r="21" spans="1:10">
      <c r="A21" s="299">
        <v>5</v>
      </c>
      <c r="B21" s="672">
        <v>200200400200000</v>
      </c>
      <c r="C21" s="300" t="s">
        <v>3257</v>
      </c>
      <c r="D21" s="339"/>
      <c r="E21" s="339" t="str">
        <f>+E20</f>
        <v>PAA080</v>
      </c>
      <c r="F21" s="321">
        <v>1882.46</v>
      </c>
      <c r="G21" s="321">
        <v>1882.46</v>
      </c>
    </row>
    <row r="22" spans="1:10">
      <c r="A22" s="316" t="s">
        <v>1946</v>
      </c>
      <c r="B22" s="673" t="s">
        <v>3258</v>
      </c>
      <c r="C22" s="296" t="s">
        <v>3259</v>
      </c>
      <c r="D22" s="310"/>
      <c r="E22" s="310"/>
      <c r="F22" s="319"/>
      <c r="G22" s="319"/>
    </row>
    <row r="23" spans="1:10">
      <c r="A23" s="299" t="s">
        <v>1948</v>
      </c>
      <c r="B23" s="672">
        <v>200200500000000</v>
      </c>
      <c r="C23" s="300" t="s">
        <v>3260</v>
      </c>
      <c r="D23" s="339"/>
      <c r="E23" s="339" t="str">
        <f>+B22</f>
        <v>PAA090</v>
      </c>
      <c r="F23" s="321"/>
      <c r="G23" s="321"/>
    </row>
    <row r="24" spans="1:10">
      <c r="A24" s="316" t="s">
        <v>1944</v>
      </c>
      <c r="B24" s="673" t="s">
        <v>3261</v>
      </c>
      <c r="C24" s="296" t="s">
        <v>3262</v>
      </c>
      <c r="D24" s="310"/>
      <c r="E24" s="310"/>
      <c r="F24" s="319"/>
      <c r="G24" s="319"/>
    </row>
    <row r="25" spans="1:10">
      <c r="A25" s="299" t="s">
        <v>1946</v>
      </c>
      <c r="B25" s="672">
        <v>200300000000000</v>
      </c>
      <c r="C25" s="300" t="s">
        <v>3263</v>
      </c>
      <c r="D25" s="339"/>
      <c r="E25" s="339" t="str">
        <f>+B24</f>
        <v>PAA100</v>
      </c>
      <c r="F25" s="321"/>
      <c r="G25" s="321"/>
      <c r="H25" s="214"/>
    </row>
    <row r="26" spans="1:10">
      <c r="A26" s="316" t="s">
        <v>1944</v>
      </c>
      <c r="B26" s="673" t="s">
        <v>3264</v>
      </c>
      <c r="C26" s="296" t="s">
        <v>3265</v>
      </c>
      <c r="D26" s="310"/>
      <c r="E26" s="310"/>
      <c r="F26" s="319"/>
      <c r="G26" s="319"/>
    </row>
    <row r="27" spans="1:10">
      <c r="A27" s="316" t="s">
        <v>1946</v>
      </c>
      <c r="B27" s="673" t="s">
        <v>3266</v>
      </c>
      <c r="C27" s="296" t="s">
        <v>3267</v>
      </c>
      <c r="D27" s="310"/>
      <c r="E27" s="310"/>
      <c r="F27" s="319"/>
      <c r="G27" s="319"/>
    </row>
    <row r="28" spans="1:10">
      <c r="A28" s="299" t="s">
        <v>1948</v>
      </c>
      <c r="B28" s="672">
        <v>200400100000000</v>
      </c>
      <c r="C28" s="300" t="s">
        <v>3268</v>
      </c>
      <c r="D28" s="339"/>
      <c r="E28" s="339" t="str">
        <f>+B27</f>
        <v>PAA120</v>
      </c>
      <c r="F28" s="321"/>
      <c r="G28" s="321"/>
    </row>
    <row r="29" spans="1:10">
      <c r="A29" s="316" t="s">
        <v>1946</v>
      </c>
      <c r="B29" s="673" t="s">
        <v>3269</v>
      </c>
      <c r="C29" s="296" t="s">
        <v>3270</v>
      </c>
      <c r="D29" s="310"/>
      <c r="E29" s="310"/>
      <c r="F29" s="319"/>
      <c r="G29" s="319"/>
    </row>
    <row r="30" spans="1:10">
      <c r="A30" s="299" t="s">
        <v>1948</v>
      </c>
      <c r="B30" s="672">
        <v>200400200000000</v>
      </c>
      <c r="C30" s="300" t="s">
        <v>3271</v>
      </c>
      <c r="D30" s="339"/>
      <c r="E30" s="339" t="str">
        <f>+B29</f>
        <v>PAA130</v>
      </c>
      <c r="F30" s="321"/>
      <c r="G30" s="321"/>
    </row>
    <row r="31" spans="1:10">
      <c r="A31" s="316" t="s">
        <v>1946</v>
      </c>
      <c r="B31" s="673" t="s">
        <v>3272</v>
      </c>
      <c r="C31" s="296" t="s">
        <v>3273</v>
      </c>
      <c r="D31" s="310"/>
      <c r="E31" s="310"/>
      <c r="F31" s="319"/>
      <c r="G31" s="319"/>
    </row>
    <row r="32" spans="1:10">
      <c r="A32" s="299" t="s">
        <v>1948</v>
      </c>
      <c r="B32" s="672">
        <v>200400300000000</v>
      </c>
      <c r="C32" s="300" t="s">
        <v>3274</v>
      </c>
      <c r="D32" s="339"/>
      <c r="E32" s="339" t="str">
        <f>+B31</f>
        <v>PAA140</v>
      </c>
      <c r="F32" s="321"/>
      <c r="G32" s="321"/>
    </row>
    <row r="33" spans="1:7">
      <c r="A33" s="316" t="s">
        <v>1946</v>
      </c>
      <c r="B33" s="673" t="s">
        <v>3275</v>
      </c>
      <c r="C33" s="296" t="s">
        <v>3276</v>
      </c>
      <c r="D33" s="310"/>
      <c r="E33" s="310"/>
      <c r="F33" s="319"/>
      <c r="G33" s="319"/>
    </row>
    <row r="34" spans="1:7">
      <c r="A34" s="299" t="s">
        <v>1948</v>
      </c>
      <c r="B34" s="672">
        <v>200400400000000</v>
      </c>
      <c r="C34" s="300" t="s">
        <v>3277</v>
      </c>
      <c r="D34" s="339"/>
      <c r="E34" s="339" t="str">
        <f>+B33</f>
        <v>PAA150</v>
      </c>
      <c r="F34" s="321">
        <v>3642805.73</v>
      </c>
      <c r="G34" s="321">
        <v>2210029.5299999998</v>
      </c>
    </row>
    <row r="35" spans="1:7">
      <c r="A35" s="316" t="s">
        <v>1946</v>
      </c>
      <c r="B35" s="673" t="s">
        <v>3278</v>
      </c>
      <c r="C35" s="296" t="s">
        <v>3279</v>
      </c>
      <c r="D35" s="310"/>
      <c r="E35" s="310"/>
      <c r="F35" s="319"/>
      <c r="G35" s="319"/>
    </row>
    <row r="36" spans="1:7">
      <c r="A36" s="299" t="s">
        <v>1948</v>
      </c>
      <c r="B36" s="672">
        <v>200400500000000</v>
      </c>
      <c r="C36" s="300" t="s">
        <v>3280</v>
      </c>
      <c r="D36" s="339"/>
      <c r="E36" s="339" t="str">
        <f>+B35</f>
        <v>PAA160</v>
      </c>
      <c r="F36" s="321">
        <v>13931.15</v>
      </c>
      <c r="G36" s="321">
        <v>13931.15</v>
      </c>
    </row>
    <row r="37" spans="1:7">
      <c r="A37" s="316" t="s">
        <v>1944</v>
      </c>
      <c r="B37" s="673" t="s">
        <v>3281</v>
      </c>
      <c r="C37" s="296" t="s">
        <v>3282</v>
      </c>
      <c r="D37" s="310"/>
      <c r="E37" s="310"/>
      <c r="F37" s="319"/>
      <c r="G37" s="319"/>
    </row>
    <row r="38" spans="1:7">
      <c r="A38" s="316" t="s">
        <v>1946</v>
      </c>
      <c r="B38" s="673" t="s">
        <v>3283</v>
      </c>
      <c r="C38" s="296" t="s">
        <v>3284</v>
      </c>
      <c r="D38" s="310"/>
      <c r="E38" s="310"/>
      <c r="F38" s="319"/>
      <c r="G38" s="319"/>
    </row>
    <row r="39" spans="1:7">
      <c r="A39" s="299">
        <v>5</v>
      </c>
      <c r="B39" s="672">
        <v>200500100000000</v>
      </c>
      <c r="C39" s="300" t="s">
        <v>3285</v>
      </c>
      <c r="D39" s="339"/>
      <c r="E39" s="339" t="str">
        <f>+B38</f>
        <v>PAA180</v>
      </c>
      <c r="F39" s="321"/>
      <c r="G39" s="321"/>
    </row>
    <row r="40" spans="1:7">
      <c r="A40" s="316" t="s">
        <v>1946</v>
      </c>
      <c r="B40" s="673" t="s">
        <v>3286</v>
      </c>
      <c r="C40" s="296" t="s">
        <v>3287</v>
      </c>
      <c r="D40" s="310"/>
      <c r="E40" s="310"/>
      <c r="F40" s="319"/>
      <c r="G40" s="319"/>
    </row>
    <row r="41" spans="1:7">
      <c r="A41" s="299" t="s">
        <v>1948</v>
      </c>
      <c r="B41" s="672">
        <v>200500200000000</v>
      </c>
      <c r="C41" s="300" t="s">
        <v>3288</v>
      </c>
      <c r="D41" s="339"/>
      <c r="E41" s="339" t="str">
        <f>+B40</f>
        <v>PAA190</v>
      </c>
      <c r="F41" s="321"/>
      <c r="G41" s="321"/>
    </row>
    <row r="42" spans="1:7">
      <c r="A42" s="316" t="s">
        <v>1946</v>
      </c>
      <c r="B42" s="673" t="s">
        <v>3289</v>
      </c>
      <c r="C42" s="296" t="s">
        <v>3290</v>
      </c>
      <c r="D42" s="310"/>
      <c r="E42" s="310"/>
      <c r="F42" s="319"/>
      <c r="G42" s="319"/>
    </row>
    <row r="43" spans="1:7">
      <c r="A43" s="299" t="s">
        <v>1948</v>
      </c>
      <c r="B43" s="672">
        <v>200500300000000</v>
      </c>
      <c r="C43" s="300" t="s">
        <v>3291</v>
      </c>
      <c r="D43" s="339"/>
      <c r="E43" s="339" t="str">
        <f>+B42</f>
        <v>PAA200</v>
      </c>
      <c r="F43" s="321"/>
      <c r="G43" s="321"/>
    </row>
    <row r="44" spans="1:7">
      <c r="A44" s="316" t="s">
        <v>1944</v>
      </c>
      <c r="B44" s="673" t="s">
        <v>3292</v>
      </c>
      <c r="C44" s="296" t="s">
        <v>3293</v>
      </c>
      <c r="D44" s="310"/>
      <c r="E44" s="310"/>
      <c r="F44" s="319"/>
      <c r="G44" s="319"/>
    </row>
    <row r="45" spans="1:7">
      <c r="A45" s="299" t="s">
        <v>1946</v>
      </c>
      <c r="B45" s="672">
        <v>200600000000000</v>
      </c>
      <c r="C45" s="300" t="s">
        <v>3294</v>
      </c>
      <c r="D45" s="339"/>
      <c r="E45" s="339" t="str">
        <f>+B44</f>
        <v>PAA210</v>
      </c>
      <c r="F45" s="321">
        <v>0</v>
      </c>
      <c r="G45" s="321"/>
    </row>
    <row r="46" spans="1:7">
      <c r="A46" s="316" t="s">
        <v>1944</v>
      </c>
      <c r="B46" s="673" t="s">
        <v>3295</v>
      </c>
      <c r="C46" s="296" t="s">
        <v>3296</v>
      </c>
      <c r="D46" s="310"/>
      <c r="E46" s="310"/>
      <c r="F46" s="319"/>
      <c r="G46" s="319"/>
    </row>
    <row r="47" spans="1:7">
      <c r="A47" s="299" t="s">
        <v>1946</v>
      </c>
      <c r="B47" s="672">
        <v>200700000000000</v>
      </c>
      <c r="C47" s="300" t="s">
        <v>3297</v>
      </c>
      <c r="D47" s="339"/>
      <c r="E47" s="339" t="str">
        <f>+B46</f>
        <v>PAA220</v>
      </c>
      <c r="F47" s="321">
        <f>+'12. CE Min'!D567</f>
        <v>2874961.4699999094</v>
      </c>
      <c r="G47" s="321">
        <v>1432776.200000057</v>
      </c>
    </row>
    <row r="48" spans="1:7">
      <c r="A48" s="316" t="s">
        <v>1941</v>
      </c>
      <c r="B48" s="673" t="s">
        <v>3298</v>
      </c>
      <c r="C48" s="296" t="s">
        <v>3299</v>
      </c>
      <c r="D48" s="310"/>
      <c r="E48" s="310"/>
      <c r="F48" s="319"/>
      <c r="G48" s="319"/>
    </row>
    <row r="49" spans="1:9">
      <c r="A49" s="316" t="s">
        <v>1944</v>
      </c>
      <c r="B49" s="673" t="s">
        <v>3300</v>
      </c>
      <c r="C49" s="296" t="s">
        <v>3301</v>
      </c>
      <c r="D49" s="310"/>
      <c r="E49" s="310"/>
      <c r="F49" s="319"/>
      <c r="G49" s="319"/>
    </row>
    <row r="50" spans="1:9">
      <c r="A50" s="299" t="s">
        <v>1946</v>
      </c>
      <c r="B50" s="672">
        <v>220100000000000</v>
      </c>
      <c r="C50" s="300" t="s">
        <v>3302</v>
      </c>
      <c r="D50" s="339"/>
      <c r="E50" s="339" t="str">
        <f>+B49</f>
        <v>PBA000</v>
      </c>
      <c r="F50" s="321"/>
      <c r="G50" s="321"/>
    </row>
    <row r="51" spans="1:9">
      <c r="A51" s="316" t="s">
        <v>1944</v>
      </c>
      <c r="B51" s="673" t="s">
        <v>3303</v>
      </c>
      <c r="C51" s="296" t="s">
        <v>3304</v>
      </c>
      <c r="D51" s="310"/>
      <c r="E51" s="310"/>
      <c r="F51" s="319"/>
      <c r="G51" s="319"/>
    </row>
    <row r="52" spans="1:9">
      <c r="A52" s="316" t="s">
        <v>1946</v>
      </c>
      <c r="B52" s="673" t="s">
        <v>3305</v>
      </c>
      <c r="C52" s="296" t="s">
        <v>3306</v>
      </c>
      <c r="D52" s="310"/>
      <c r="E52" s="310"/>
      <c r="F52" s="319"/>
      <c r="G52" s="319"/>
    </row>
    <row r="53" spans="1:9">
      <c r="A53" s="299" t="s">
        <v>1948</v>
      </c>
      <c r="B53" s="672">
        <v>220200100000000</v>
      </c>
      <c r="C53" s="300" t="s">
        <v>3307</v>
      </c>
      <c r="D53" s="339"/>
      <c r="E53" s="339" t="str">
        <f>+B52</f>
        <v>PBA020</v>
      </c>
      <c r="F53" s="321">
        <v>92391</v>
      </c>
      <c r="G53" s="321">
        <v>1827396.7</v>
      </c>
      <c r="I53" s="676"/>
    </row>
    <row r="54" spans="1:9">
      <c r="A54" s="316" t="s">
        <v>1946</v>
      </c>
      <c r="B54" s="673" t="s">
        <v>3308</v>
      </c>
      <c r="C54" s="296" t="s">
        <v>3309</v>
      </c>
      <c r="D54" s="310"/>
      <c r="E54" s="310"/>
      <c r="F54" s="319"/>
      <c r="G54" s="319"/>
    </row>
    <row r="55" spans="1:9">
      <c r="A55" s="299" t="s">
        <v>1948</v>
      </c>
      <c r="B55" s="672">
        <v>220200200000000</v>
      </c>
      <c r="C55" s="300" t="s">
        <v>3310</v>
      </c>
      <c r="D55" s="339"/>
      <c r="E55" s="339" t="str">
        <f>+B54</f>
        <v>PBA030</v>
      </c>
      <c r="F55" s="321"/>
      <c r="G55" s="321"/>
    </row>
    <row r="56" spans="1:9">
      <c r="A56" s="316" t="s">
        <v>1946</v>
      </c>
      <c r="B56" s="673" t="s">
        <v>3311</v>
      </c>
      <c r="C56" s="296" t="s">
        <v>3312</v>
      </c>
      <c r="D56" s="310"/>
      <c r="E56" s="310"/>
      <c r="F56" s="319"/>
      <c r="G56" s="319"/>
    </row>
    <row r="57" spans="1:9">
      <c r="A57" s="299" t="s">
        <v>1948</v>
      </c>
      <c r="B57" s="672">
        <v>220200300000000</v>
      </c>
      <c r="C57" s="300" t="s">
        <v>3313</v>
      </c>
      <c r="D57" s="339"/>
      <c r="E57" s="339" t="str">
        <f>+B56</f>
        <v>PBA040</v>
      </c>
      <c r="F57" s="321"/>
      <c r="G57" s="321"/>
    </row>
    <row r="58" spans="1:9">
      <c r="A58" s="316" t="s">
        <v>1946</v>
      </c>
      <c r="B58" s="673" t="s">
        <v>3314</v>
      </c>
      <c r="C58" s="296" t="s">
        <v>3315</v>
      </c>
      <c r="D58" s="310"/>
      <c r="E58" s="310"/>
      <c r="F58" s="319"/>
      <c r="G58" s="319"/>
    </row>
    <row r="59" spans="1:9">
      <c r="A59" s="299" t="s">
        <v>1948</v>
      </c>
      <c r="B59" s="672">
        <v>220200400000000</v>
      </c>
      <c r="C59" s="300" t="s">
        <v>3316</v>
      </c>
      <c r="D59" s="339"/>
      <c r="E59" s="339" t="str">
        <f>+B58</f>
        <v>PBA050</v>
      </c>
      <c r="F59" s="321"/>
      <c r="G59" s="321"/>
    </row>
    <row r="60" spans="1:9">
      <c r="A60" s="316" t="s">
        <v>1946</v>
      </c>
      <c r="B60" s="673" t="s">
        <v>3317</v>
      </c>
      <c r="C60" s="296" t="s">
        <v>3318</v>
      </c>
      <c r="D60" s="310"/>
      <c r="E60" s="310"/>
      <c r="F60" s="319"/>
      <c r="G60" s="319"/>
    </row>
    <row r="61" spans="1:9">
      <c r="A61" s="299" t="s">
        <v>1948</v>
      </c>
      <c r="B61" s="672">
        <v>220200500000000</v>
      </c>
      <c r="C61" s="300" t="s">
        <v>3319</v>
      </c>
      <c r="D61" s="339"/>
      <c r="E61" s="339" t="str">
        <f>+B60</f>
        <v>PBA051</v>
      </c>
      <c r="F61" s="321">
        <v>48835650.82</v>
      </c>
      <c r="G61" s="321">
        <v>48131971.039999999</v>
      </c>
    </row>
    <row r="62" spans="1:9">
      <c r="A62" s="316" t="s">
        <v>1946</v>
      </c>
      <c r="B62" s="673" t="s">
        <v>3320</v>
      </c>
      <c r="C62" s="296" t="s">
        <v>3321</v>
      </c>
      <c r="D62" s="310"/>
      <c r="E62" s="310"/>
      <c r="F62" s="319"/>
      <c r="G62" s="319"/>
    </row>
    <row r="63" spans="1:9">
      <c r="A63" s="299" t="s">
        <v>1948</v>
      </c>
      <c r="B63" s="672">
        <v>220200600000000</v>
      </c>
      <c r="C63" s="300" t="s">
        <v>3322</v>
      </c>
      <c r="D63" s="339"/>
      <c r="E63" s="339" t="str">
        <f>+B62</f>
        <v>PBA052</v>
      </c>
      <c r="F63" s="321">
        <v>1175940.33</v>
      </c>
      <c r="G63" s="321">
        <v>175940.33</v>
      </c>
    </row>
    <row r="64" spans="1:9">
      <c r="A64" s="316" t="s">
        <v>1946</v>
      </c>
      <c r="B64" s="673" t="s">
        <v>3323</v>
      </c>
      <c r="C64" s="296" t="s">
        <v>3324</v>
      </c>
      <c r="D64" s="310"/>
      <c r="E64" s="310"/>
      <c r="F64" s="319"/>
      <c r="G64" s="319"/>
    </row>
    <row r="65" spans="1:7">
      <c r="A65" s="299">
        <v>5</v>
      </c>
      <c r="B65" s="672">
        <v>220200900100000</v>
      </c>
      <c r="C65" s="300" t="s">
        <v>3325</v>
      </c>
      <c r="D65" s="339"/>
      <c r="E65" s="339" t="str">
        <f>+B64</f>
        <v>PBA060</v>
      </c>
      <c r="F65" s="321"/>
      <c r="G65" s="321"/>
    </row>
    <row r="66" spans="1:7">
      <c r="A66" s="299">
        <v>5</v>
      </c>
      <c r="B66" s="672">
        <v>220200900200000</v>
      </c>
      <c r="C66" s="300" t="s">
        <v>3326</v>
      </c>
      <c r="D66" s="339"/>
      <c r="E66" s="339" t="str">
        <f>+E65</f>
        <v>PBA060</v>
      </c>
      <c r="F66" s="321"/>
      <c r="G66" s="321"/>
    </row>
    <row r="67" spans="1:7">
      <c r="A67" s="299">
        <v>5</v>
      </c>
      <c r="B67" s="672">
        <v>220200900900000</v>
      </c>
      <c r="C67" s="300" t="s">
        <v>3327</v>
      </c>
      <c r="D67" s="339"/>
      <c r="E67" s="339" t="str">
        <f>+E66</f>
        <v>PBA060</v>
      </c>
      <c r="F67" s="321"/>
      <c r="G67" s="321"/>
    </row>
    <row r="68" spans="1:7">
      <c r="A68" s="316" t="s">
        <v>1944</v>
      </c>
      <c r="B68" s="673" t="s">
        <v>3328</v>
      </c>
      <c r="C68" s="296" t="s">
        <v>3329</v>
      </c>
      <c r="D68" s="310"/>
      <c r="E68" s="310"/>
      <c r="F68" s="319"/>
      <c r="G68" s="319"/>
    </row>
    <row r="69" spans="1:7">
      <c r="A69" s="316" t="s">
        <v>1946</v>
      </c>
      <c r="B69" s="673" t="s">
        <v>3330</v>
      </c>
      <c r="C69" s="296" t="s">
        <v>3331</v>
      </c>
      <c r="D69" s="310"/>
      <c r="E69" s="310"/>
      <c r="F69" s="319"/>
      <c r="G69" s="319"/>
    </row>
    <row r="70" spans="1:7">
      <c r="A70" s="299" t="s">
        <v>1948</v>
      </c>
      <c r="B70" s="672">
        <v>220300100000000</v>
      </c>
      <c r="C70" s="300" t="s">
        <v>3332</v>
      </c>
      <c r="D70" s="339"/>
      <c r="E70" s="339" t="str">
        <f>+B69</f>
        <v>PBA080</v>
      </c>
      <c r="F70" s="321"/>
      <c r="G70" s="321"/>
    </row>
    <row r="71" spans="1:7">
      <c r="A71" s="316" t="s">
        <v>1946</v>
      </c>
      <c r="B71" s="673" t="s">
        <v>3333</v>
      </c>
      <c r="C71" s="296" t="s">
        <v>3334</v>
      </c>
      <c r="D71" s="310"/>
      <c r="E71" s="310"/>
      <c r="F71" s="319"/>
      <c r="G71" s="319"/>
    </row>
    <row r="72" spans="1:7">
      <c r="A72" s="299" t="s">
        <v>1948</v>
      </c>
      <c r="B72" s="672">
        <v>220300200000000</v>
      </c>
      <c r="C72" s="300" t="s">
        <v>3335</v>
      </c>
      <c r="D72" s="339"/>
      <c r="E72" s="339" t="str">
        <f>+B71</f>
        <v>PBA090</v>
      </c>
      <c r="F72" s="321"/>
      <c r="G72" s="321"/>
    </row>
    <row r="73" spans="1:7">
      <c r="A73" s="316" t="s">
        <v>1946</v>
      </c>
      <c r="B73" s="673" t="s">
        <v>3336</v>
      </c>
      <c r="C73" s="296" t="s">
        <v>3337</v>
      </c>
      <c r="D73" s="310"/>
      <c r="E73" s="310"/>
      <c r="F73" s="319"/>
      <c r="G73" s="319"/>
    </row>
    <row r="74" spans="1:7">
      <c r="A74" s="299" t="s">
        <v>1948</v>
      </c>
      <c r="B74" s="672">
        <v>220300300000000</v>
      </c>
      <c r="C74" s="300" t="s">
        <v>3338</v>
      </c>
      <c r="D74" s="339"/>
      <c r="E74" s="339" t="str">
        <f>+B73</f>
        <v>PBA100</v>
      </c>
      <c r="F74" s="321"/>
      <c r="G74" s="321"/>
    </row>
    <row r="75" spans="1:7">
      <c r="A75" s="316" t="s">
        <v>1946</v>
      </c>
      <c r="B75" s="673" t="s">
        <v>3339</v>
      </c>
      <c r="C75" s="296" t="s">
        <v>3340</v>
      </c>
      <c r="D75" s="310"/>
      <c r="E75" s="310"/>
      <c r="F75" s="319"/>
      <c r="G75" s="319"/>
    </row>
    <row r="76" spans="1:7">
      <c r="A76" s="299" t="s">
        <v>1948</v>
      </c>
      <c r="B76" s="672">
        <v>220300400000000</v>
      </c>
      <c r="C76" s="300" t="s">
        <v>3341</v>
      </c>
      <c r="D76" s="339"/>
      <c r="E76" s="339" t="str">
        <f>+B75</f>
        <v>PBA110</v>
      </c>
      <c r="F76" s="321"/>
      <c r="G76" s="321"/>
    </row>
    <row r="77" spans="1:7">
      <c r="A77" s="316" t="s">
        <v>1946</v>
      </c>
      <c r="B77" s="673" t="s">
        <v>3342</v>
      </c>
      <c r="C77" s="296" t="s">
        <v>3343</v>
      </c>
      <c r="D77" s="310"/>
      <c r="E77" s="310"/>
      <c r="F77" s="319"/>
      <c r="G77" s="319"/>
    </row>
    <row r="78" spans="1:7">
      <c r="A78" s="299" t="s">
        <v>1948</v>
      </c>
      <c r="B78" s="672">
        <v>220300500000000</v>
      </c>
      <c r="C78" s="300" t="s">
        <v>3344</v>
      </c>
      <c r="D78" s="339"/>
      <c r="E78" s="339" t="str">
        <f>+B77</f>
        <v>PBA120</v>
      </c>
      <c r="F78" s="321"/>
      <c r="G78" s="321"/>
    </row>
    <row r="79" spans="1:7">
      <c r="A79" s="316" t="s">
        <v>1946</v>
      </c>
      <c r="B79" s="673" t="s">
        <v>3345</v>
      </c>
      <c r="C79" s="296" t="s">
        <v>3346</v>
      </c>
      <c r="D79" s="310"/>
      <c r="E79" s="310"/>
      <c r="F79" s="319"/>
      <c r="G79" s="319"/>
    </row>
    <row r="80" spans="1:7">
      <c r="A80" s="299" t="s">
        <v>1948</v>
      </c>
      <c r="B80" s="672">
        <v>220300600000000</v>
      </c>
      <c r="C80" s="300" t="s">
        <v>3347</v>
      </c>
      <c r="D80" s="339"/>
      <c r="E80" s="339" t="str">
        <f>+B79</f>
        <v>PBA130</v>
      </c>
      <c r="F80" s="321"/>
      <c r="G80" s="321"/>
    </row>
    <row r="81" spans="1:8">
      <c r="A81" s="316" t="s">
        <v>1946</v>
      </c>
      <c r="B81" s="673" t="s">
        <v>3348</v>
      </c>
      <c r="C81" s="296" t="s">
        <v>3349</v>
      </c>
      <c r="D81" s="310"/>
      <c r="E81" s="310"/>
      <c r="F81" s="319"/>
      <c r="G81" s="319"/>
    </row>
    <row r="82" spans="1:8">
      <c r="A82" s="299" t="s">
        <v>1948</v>
      </c>
      <c r="B82" s="672">
        <v>220300700000000</v>
      </c>
      <c r="C82" s="300" t="s">
        <v>3350</v>
      </c>
      <c r="D82" s="339"/>
      <c r="E82" s="339" t="str">
        <f>+B81</f>
        <v>PBA140</v>
      </c>
      <c r="F82" s="321"/>
      <c r="G82" s="321"/>
    </row>
    <row r="83" spans="1:8" ht="25.5">
      <c r="A83" s="316" t="s">
        <v>1946</v>
      </c>
      <c r="B83" s="673" t="s">
        <v>3351</v>
      </c>
      <c r="C83" s="296" t="s">
        <v>3352</v>
      </c>
      <c r="D83" s="310"/>
      <c r="E83" s="310"/>
      <c r="F83" s="319"/>
      <c r="G83" s="319"/>
    </row>
    <row r="84" spans="1:8" ht="24">
      <c r="A84" s="299" t="s">
        <v>1948</v>
      </c>
      <c r="B84" s="672">
        <v>220300800000000</v>
      </c>
      <c r="C84" s="300" t="s">
        <v>3353</v>
      </c>
      <c r="D84" s="339"/>
      <c r="E84" s="339" t="str">
        <f>+B83</f>
        <v>PBA141</v>
      </c>
      <c r="F84" s="321"/>
      <c r="G84" s="321"/>
    </row>
    <row r="85" spans="1:8">
      <c r="A85" s="316" t="s">
        <v>1944</v>
      </c>
      <c r="B85" s="673" t="s">
        <v>3354</v>
      </c>
      <c r="C85" s="296" t="s">
        <v>3355</v>
      </c>
      <c r="D85" s="310"/>
      <c r="E85" s="310"/>
      <c r="F85" s="319"/>
      <c r="G85" s="319"/>
    </row>
    <row r="86" spans="1:8" ht="25.5">
      <c r="A86" s="316" t="s">
        <v>1946</v>
      </c>
      <c r="B86" s="673" t="s">
        <v>3356</v>
      </c>
      <c r="C86" s="296" t="s">
        <v>3357</v>
      </c>
      <c r="D86" s="310"/>
      <c r="E86" s="310"/>
      <c r="F86" s="319"/>
      <c r="G86" s="319"/>
    </row>
    <row r="87" spans="1:8">
      <c r="A87" s="299" t="s">
        <v>1948</v>
      </c>
      <c r="B87" s="672">
        <v>220400050000000</v>
      </c>
      <c r="C87" s="300" t="s">
        <v>3358</v>
      </c>
      <c r="D87" s="339"/>
      <c r="E87" s="339" t="str">
        <f>+B86</f>
        <v>PBA151</v>
      </c>
      <c r="F87" s="321">
        <v>16003531.369999999</v>
      </c>
      <c r="G87" s="321">
        <v>907104.12</v>
      </c>
    </row>
    <row r="88" spans="1:8">
      <c r="A88" s="316" t="s">
        <v>1946</v>
      </c>
      <c r="B88" s="673" t="s">
        <v>3359</v>
      </c>
      <c r="C88" s="296" t="s">
        <v>3360</v>
      </c>
      <c r="D88" s="310"/>
      <c r="E88" s="310"/>
      <c r="F88" s="319"/>
      <c r="G88" s="319"/>
    </row>
    <row r="89" spans="1:8">
      <c r="A89" s="299" t="s">
        <v>1948</v>
      </c>
      <c r="B89" s="672">
        <v>220400100000000</v>
      </c>
      <c r="C89" s="300" t="s">
        <v>3361</v>
      </c>
      <c r="D89" s="339"/>
      <c r="E89" s="339" t="str">
        <f>+B88</f>
        <v>PBA160</v>
      </c>
      <c r="F89" s="321"/>
      <c r="G89" s="321"/>
    </row>
    <row r="90" spans="1:8">
      <c r="A90" s="316" t="s">
        <v>1946</v>
      </c>
      <c r="B90" s="673" t="s">
        <v>3362</v>
      </c>
      <c r="C90" s="296" t="s">
        <v>3363</v>
      </c>
      <c r="D90" s="310"/>
      <c r="E90" s="310"/>
      <c r="F90" s="319"/>
      <c r="G90" s="319"/>
    </row>
    <row r="91" spans="1:8">
      <c r="A91" s="299" t="s">
        <v>1948</v>
      </c>
      <c r="B91" s="674">
        <v>220400200000000</v>
      </c>
      <c r="C91" s="300" t="s">
        <v>3364</v>
      </c>
      <c r="D91" s="339"/>
      <c r="E91" s="339" t="str">
        <f>+B90</f>
        <v>PBA170</v>
      </c>
      <c r="F91" s="321">
        <f>3530926.82-933134.03-9001+2250.25+428034.84+16398.75-60000</f>
        <v>2975475.63</v>
      </c>
      <c r="G91" s="321">
        <v>930026.14</v>
      </c>
    </row>
    <row r="92" spans="1:8">
      <c r="A92" s="316" t="s">
        <v>1946</v>
      </c>
      <c r="B92" s="673" t="s">
        <v>3365</v>
      </c>
      <c r="C92" s="296" t="s">
        <v>3366</v>
      </c>
      <c r="D92" s="310"/>
      <c r="E92" s="310"/>
      <c r="F92" s="319"/>
      <c r="G92" s="319"/>
    </row>
    <row r="93" spans="1:8">
      <c r="A93" s="299" t="s">
        <v>1948</v>
      </c>
      <c r="B93" s="672">
        <v>220400300000000</v>
      </c>
      <c r="C93" s="300" t="s">
        <v>3367</v>
      </c>
      <c r="D93" s="339"/>
      <c r="E93" s="339" t="str">
        <f>+B92</f>
        <v>PBA180</v>
      </c>
      <c r="F93" s="321"/>
      <c r="G93" s="321"/>
    </row>
    <row r="94" spans="1:8">
      <c r="A94" s="316" t="s">
        <v>1946</v>
      </c>
      <c r="B94" s="673" t="s">
        <v>3368</v>
      </c>
      <c r="C94" s="296" t="s">
        <v>3369</v>
      </c>
      <c r="D94" s="310"/>
      <c r="E94" s="310"/>
      <c r="F94" s="319"/>
      <c r="G94" s="319"/>
    </row>
    <row r="95" spans="1:8">
      <c r="A95" s="299">
        <v>5</v>
      </c>
      <c r="B95" s="672">
        <v>220400400100000</v>
      </c>
      <c r="C95" s="300" t="s">
        <v>3370</v>
      </c>
      <c r="D95" s="339"/>
      <c r="E95" s="339" t="str">
        <f>+B94</f>
        <v>PBA190</v>
      </c>
      <c r="F95" s="321"/>
      <c r="G95" s="321"/>
    </row>
    <row r="96" spans="1:8">
      <c r="A96" s="299">
        <v>5</v>
      </c>
      <c r="B96" s="672">
        <v>220400400900000</v>
      </c>
      <c r="C96" s="300" t="s">
        <v>3371</v>
      </c>
      <c r="D96" s="339"/>
      <c r="E96" s="339" t="str">
        <f>+E95</f>
        <v>PBA190</v>
      </c>
      <c r="F96" s="321">
        <v>182973.47</v>
      </c>
      <c r="G96" s="321">
        <v>184267.24</v>
      </c>
      <c r="H96" s="702"/>
    </row>
    <row r="97" spans="1:7">
      <c r="A97" s="316" t="s">
        <v>1944</v>
      </c>
      <c r="B97" s="673" t="s">
        <v>3372</v>
      </c>
      <c r="C97" s="296" t="s">
        <v>3373</v>
      </c>
      <c r="D97" s="310"/>
      <c r="E97" s="310"/>
      <c r="F97" s="319"/>
      <c r="G97" s="319"/>
    </row>
    <row r="98" spans="1:7">
      <c r="A98" s="316" t="s">
        <v>1946</v>
      </c>
      <c r="B98" s="673" t="s">
        <v>3374</v>
      </c>
      <c r="C98" s="296" t="s">
        <v>3375</v>
      </c>
      <c r="D98" s="310"/>
      <c r="E98" s="310"/>
      <c r="F98" s="319"/>
      <c r="G98" s="319"/>
    </row>
    <row r="99" spans="1:7">
      <c r="A99" s="299" t="s">
        <v>1948</v>
      </c>
      <c r="B99" s="672">
        <v>220500100000000</v>
      </c>
      <c r="C99" s="300" t="s">
        <v>3376</v>
      </c>
      <c r="D99" s="339"/>
      <c r="E99" s="339" t="str">
        <f>+B98</f>
        <v>PBA210</v>
      </c>
      <c r="F99" s="321"/>
      <c r="G99" s="321"/>
    </row>
    <row r="100" spans="1:7">
      <c r="A100" s="316" t="s">
        <v>1946</v>
      </c>
      <c r="B100" s="673" t="s">
        <v>3377</v>
      </c>
      <c r="C100" s="296" t="s">
        <v>3378</v>
      </c>
      <c r="D100" s="310"/>
      <c r="E100" s="310"/>
      <c r="F100" s="319"/>
      <c r="G100" s="319"/>
    </row>
    <row r="101" spans="1:7">
      <c r="A101" s="316" t="s">
        <v>1948</v>
      </c>
      <c r="B101" s="673" t="s">
        <v>3379</v>
      </c>
      <c r="C101" s="296" t="s">
        <v>3380</v>
      </c>
      <c r="D101" s="310"/>
      <c r="E101" s="310"/>
      <c r="F101" s="319"/>
      <c r="G101" s="319"/>
    </row>
    <row r="102" spans="1:7">
      <c r="A102" s="299" t="s">
        <v>1950</v>
      </c>
      <c r="B102" s="674">
        <v>220500200100000</v>
      </c>
      <c r="C102" s="300" t="s">
        <v>3381</v>
      </c>
      <c r="D102" s="339"/>
      <c r="E102" s="339" t="str">
        <f>+B101</f>
        <v>PBA230</v>
      </c>
      <c r="F102" s="321">
        <v>2419994.2799999998</v>
      </c>
      <c r="G102" s="321">
        <v>337484.57</v>
      </c>
    </row>
    <row r="103" spans="1:7">
      <c r="A103" s="316" t="s">
        <v>1948</v>
      </c>
      <c r="B103" s="673" t="s">
        <v>3382</v>
      </c>
      <c r="C103" s="296" t="s">
        <v>3383</v>
      </c>
      <c r="D103" s="310"/>
      <c r="E103" s="310"/>
      <c r="F103" s="319"/>
      <c r="G103" s="319"/>
    </row>
    <row r="104" spans="1:7">
      <c r="A104" s="299" t="s">
        <v>1950</v>
      </c>
      <c r="B104" s="672">
        <v>220500200200000</v>
      </c>
      <c r="C104" s="300" t="s">
        <v>3384</v>
      </c>
      <c r="D104" s="339"/>
      <c r="E104" s="339" t="str">
        <f>+B103</f>
        <v>PBA240</v>
      </c>
      <c r="F104" s="321"/>
      <c r="G104" s="321"/>
    </row>
    <row r="105" spans="1:7">
      <c r="A105" s="316" t="s">
        <v>1948</v>
      </c>
      <c r="B105" s="673" t="s">
        <v>3385</v>
      </c>
      <c r="C105" s="296" t="s">
        <v>3386</v>
      </c>
      <c r="D105" s="310"/>
      <c r="E105" s="310"/>
      <c r="F105" s="319"/>
      <c r="G105" s="319"/>
    </row>
    <row r="106" spans="1:7">
      <c r="A106" s="299" t="s">
        <v>1950</v>
      </c>
      <c r="B106" s="672">
        <v>220500200300000</v>
      </c>
      <c r="C106" s="300" t="s">
        <v>3387</v>
      </c>
      <c r="D106" s="339"/>
      <c r="E106" s="339" t="str">
        <f>+B105</f>
        <v>PBA250</v>
      </c>
      <c r="F106" s="321"/>
      <c r="G106" s="321"/>
    </row>
    <row r="107" spans="1:7">
      <c r="A107" s="316" t="s">
        <v>1946</v>
      </c>
      <c r="B107" s="673" t="s">
        <v>3388</v>
      </c>
      <c r="C107" s="296" t="s">
        <v>3389</v>
      </c>
      <c r="D107" s="310"/>
      <c r="E107" s="310"/>
      <c r="F107" s="319"/>
      <c r="G107" s="319"/>
    </row>
    <row r="108" spans="1:7">
      <c r="A108" s="299">
        <v>5</v>
      </c>
      <c r="B108" s="672">
        <v>220500900100000</v>
      </c>
      <c r="C108" s="300" t="s">
        <v>3390</v>
      </c>
      <c r="D108" s="339"/>
      <c r="E108" s="339" t="str">
        <f>+B107</f>
        <v>PBA260</v>
      </c>
      <c r="F108" s="321"/>
      <c r="G108" s="321"/>
    </row>
    <row r="109" spans="1:7">
      <c r="A109" s="299">
        <v>5</v>
      </c>
      <c r="B109" s="672">
        <v>220500900900000</v>
      </c>
      <c r="C109" s="300" t="s">
        <v>3391</v>
      </c>
      <c r="D109" s="339"/>
      <c r="E109" s="339" t="str">
        <f>+E108</f>
        <v>PBA260</v>
      </c>
      <c r="F109" s="321">
        <v>525113.68999999994</v>
      </c>
      <c r="G109" s="321"/>
    </row>
    <row r="110" spans="1:7">
      <c r="A110" s="316" t="s">
        <v>1946</v>
      </c>
      <c r="B110" s="673" t="s">
        <v>3392</v>
      </c>
      <c r="C110" s="296" t="s">
        <v>3393</v>
      </c>
      <c r="D110" s="310"/>
      <c r="E110" s="310"/>
      <c r="F110" s="319"/>
      <c r="G110" s="319"/>
    </row>
    <row r="111" spans="1:7">
      <c r="A111" s="299" t="s">
        <v>1948</v>
      </c>
      <c r="B111" s="672">
        <v>220500950000000</v>
      </c>
      <c r="C111" s="300" t="s">
        <v>3394</v>
      </c>
      <c r="D111" s="339"/>
      <c r="E111" s="339" t="str">
        <f>+B110</f>
        <v>PBA270</v>
      </c>
      <c r="F111" s="321">
        <v>3449.65</v>
      </c>
      <c r="G111" s="321"/>
    </row>
    <row r="112" spans="1:7">
      <c r="A112" s="316" t="s">
        <v>1941</v>
      </c>
      <c r="B112" s="673" t="s">
        <v>3395</v>
      </c>
      <c r="C112" s="296" t="s">
        <v>3396</v>
      </c>
      <c r="D112" s="310"/>
      <c r="E112" s="310"/>
      <c r="F112" s="319"/>
      <c r="G112" s="319"/>
    </row>
    <row r="113" spans="1:7">
      <c r="A113" s="316" t="s">
        <v>1944</v>
      </c>
      <c r="B113" s="673" t="s">
        <v>3397</v>
      </c>
      <c r="C113" s="296" t="s">
        <v>3398</v>
      </c>
      <c r="D113" s="310"/>
      <c r="E113" s="310"/>
      <c r="F113" s="319"/>
      <c r="G113" s="319"/>
    </row>
    <row r="114" spans="1:7">
      <c r="A114" s="299" t="s">
        <v>1946</v>
      </c>
      <c r="B114" s="672">
        <v>230100000000000</v>
      </c>
      <c r="C114" s="300" t="s">
        <v>3399</v>
      </c>
      <c r="D114" s="339"/>
      <c r="E114" s="339" t="str">
        <f>+B113</f>
        <v>PCA000</v>
      </c>
      <c r="F114" s="321"/>
      <c r="G114" s="321"/>
    </row>
    <row r="115" spans="1:7">
      <c r="A115" s="316" t="s">
        <v>1944</v>
      </c>
      <c r="B115" s="673" t="s">
        <v>3400</v>
      </c>
      <c r="C115" s="296" t="s">
        <v>3401</v>
      </c>
      <c r="D115" s="310"/>
      <c r="E115" s="310"/>
      <c r="F115" s="319"/>
      <c r="G115" s="319"/>
    </row>
    <row r="116" spans="1:7">
      <c r="A116" s="299" t="s">
        <v>1946</v>
      </c>
      <c r="B116" s="672">
        <v>230200000000000</v>
      </c>
      <c r="C116" s="300" t="s">
        <v>3402</v>
      </c>
      <c r="D116" s="339"/>
      <c r="E116" s="339" t="str">
        <f>+B115</f>
        <v>PCA010</v>
      </c>
      <c r="F116" s="321"/>
      <c r="G116" s="321"/>
    </row>
    <row r="117" spans="1:7">
      <c r="A117" s="316" t="s">
        <v>1944</v>
      </c>
      <c r="B117" s="673" t="s">
        <v>3403</v>
      </c>
      <c r="C117" s="296" t="s">
        <v>3404</v>
      </c>
      <c r="D117" s="310"/>
      <c r="E117" s="310"/>
      <c r="F117" s="319"/>
      <c r="G117" s="319"/>
    </row>
    <row r="118" spans="1:7">
      <c r="A118" s="299" t="s">
        <v>1946</v>
      </c>
      <c r="B118" s="672">
        <v>230300000000000</v>
      </c>
      <c r="C118" s="300" t="s">
        <v>3405</v>
      </c>
      <c r="D118" s="339"/>
      <c r="E118" s="339" t="str">
        <f>+B117</f>
        <v>PCA020</v>
      </c>
      <c r="F118" s="321"/>
      <c r="G118" s="321"/>
    </row>
    <row r="119" spans="1:7">
      <c r="A119" s="316" t="s">
        <v>1941</v>
      </c>
      <c r="B119" s="673" t="s">
        <v>3406</v>
      </c>
      <c r="C119" s="296" t="s">
        <v>3407</v>
      </c>
      <c r="D119" s="310"/>
      <c r="E119" s="310"/>
      <c r="F119" s="319"/>
      <c r="G119" s="319"/>
    </row>
    <row r="120" spans="1:7">
      <c r="A120" s="316" t="s">
        <v>1944</v>
      </c>
      <c r="B120" s="673" t="s">
        <v>3408</v>
      </c>
      <c r="C120" s="296" t="s">
        <v>3409</v>
      </c>
      <c r="D120" s="310"/>
      <c r="E120" s="310"/>
      <c r="F120" s="319"/>
      <c r="G120" s="319"/>
    </row>
    <row r="121" spans="1:7">
      <c r="A121" s="299" t="s">
        <v>1946</v>
      </c>
      <c r="B121" s="672">
        <v>240050000000000</v>
      </c>
      <c r="C121" s="300" t="s">
        <v>3410</v>
      </c>
      <c r="D121" s="339"/>
      <c r="E121" s="339" t="str">
        <f>+B120</f>
        <v>PDA000</v>
      </c>
      <c r="F121" s="321"/>
      <c r="G121" s="321"/>
    </row>
    <row r="122" spans="1:7">
      <c r="A122" s="316" t="s">
        <v>1944</v>
      </c>
      <c r="B122" s="673" t="s">
        <v>3411</v>
      </c>
      <c r="C122" s="296" t="s">
        <v>3412</v>
      </c>
      <c r="D122" s="310"/>
      <c r="E122" s="310"/>
      <c r="F122" s="319"/>
      <c r="G122" s="319"/>
    </row>
    <row r="123" spans="1:7">
      <c r="A123" s="316" t="s">
        <v>1946</v>
      </c>
      <c r="B123" s="673" t="s">
        <v>3413</v>
      </c>
      <c r="C123" s="296" t="s">
        <v>3414</v>
      </c>
      <c r="D123" s="310"/>
      <c r="E123" s="310"/>
      <c r="F123" s="319"/>
      <c r="G123" s="319"/>
    </row>
    <row r="124" spans="1:7">
      <c r="A124" s="299" t="s">
        <v>1948</v>
      </c>
      <c r="B124" s="672">
        <v>240100100000000</v>
      </c>
      <c r="C124" s="300" t="s">
        <v>3415</v>
      </c>
      <c r="D124" s="339"/>
      <c r="E124" s="339" t="str">
        <f>+B123</f>
        <v>PDA020</v>
      </c>
      <c r="F124" s="321"/>
      <c r="G124" s="321"/>
    </row>
    <row r="125" spans="1:7">
      <c r="A125" s="316" t="s">
        <v>1946</v>
      </c>
      <c r="B125" s="673" t="s">
        <v>3416</v>
      </c>
      <c r="C125" s="296" t="s">
        <v>3417</v>
      </c>
      <c r="D125" s="310"/>
      <c r="E125" s="310"/>
      <c r="F125" s="319"/>
      <c r="G125" s="319"/>
    </row>
    <row r="126" spans="1:7">
      <c r="A126" s="299" t="s">
        <v>1948</v>
      </c>
      <c r="B126" s="672">
        <v>240100200000000</v>
      </c>
      <c r="C126" s="300" t="s">
        <v>3418</v>
      </c>
      <c r="D126" s="339"/>
      <c r="E126" s="339" t="str">
        <f>+B125</f>
        <v>PDA030</v>
      </c>
      <c r="F126" s="321"/>
      <c r="G126" s="321"/>
    </row>
    <row r="127" spans="1:7">
      <c r="A127" s="316" t="s">
        <v>1946</v>
      </c>
      <c r="B127" s="673" t="s">
        <v>3419</v>
      </c>
      <c r="C127" s="296" t="s">
        <v>3420</v>
      </c>
      <c r="D127" s="310"/>
      <c r="E127" s="310"/>
      <c r="F127" s="319"/>
      <c r="G127" s="319"/>
    </row>
    <row r="128" spans="1:7">
      <c r="A128" s="299" t="s">
        <v>1948</v>
      </c>
      <c r="B128" s="672">
        <v>240100300000000</v>
      </c>
      <c r="C128" s="300" t="s">
        <v>3421</v>
      </c>
      <c r="D128" s="339"/>
      <c r="E128" s="339" t="str">
        <f>+B127</f>
        <v>PDA040</v>
      </c>
      <c r="F128" s="321"/>
      <c r="G128" s="321"/>
    </row>
    <row r="129" spans="1:8">
      <c r="A129" s="316" t="s">
        <v>1946</v>
      </c>
      <c r="B129" s="673" t="s">
        <v>3422</v>
      </c>
      <c r="C129" s="296" t="s">
        <v>3423</v>
      </c>
      <c r="D129" s="310"/>
      <c r="E129" s="310"/>
      <c r="F129" s="319"/>
      <c r="G129" s="319"/>
    </row>
    <row r="130" spans="1:8">
      <c r="A130" s="299" t="s">
        <v>1948</v>
      </c>
      <c r="B130" s="672">
        <v>240100400000000</v>
      </c>
      <c r="C130" s="300" t="s">
        <v>3424</v>
      </c>
      <c r="D130" s="339"/>
      <c r="E130" s="339" t="str">
        <f>+B129</f>
        <v>PDA050</v>
      </c>
      <c r="F130" s="321"/>
      <c r="G130" s="321"/>
    </row>
    <row r="131" spans="1:8">
      <c r="A131" s="316" t="s">
        <v>1946</v>
      </c>
      <c r="B131" s="673" t="s">
        <v>3425</v>
      </c>
      <c r="C131" s="296" t="s">
        <v>3426</v>
      </c>
      <c r="D131" s="310"/>
      <c r="E131" s="310"/>
      <c r="F131" s="319"/>
      <c r="G131" s="319"/>
    </row>
    <row r="132" spans="1:8">
      <c r="A132" s="299">
        <v>5</v>
      </c>
      <c r="B132" s="672">
        <v>240100500100000</v>
      </c>
      <c r="C132" s="300" t="s">
        <v>3427</v>
      </c>
      <c r="D132" s="339"/>
      <c r="E132" s="339" t="str">
        <f>+B131</f>
        <v>PDA060</v>
      </c>
      <c r="F132" s="321"/>
      <c r="G132" s="321"/>
    </row>
    <row r="133" spans="1:8">
      <c r="A133" s="299">
        <v>5</v>
      </c>
      <c r="B133" s="672">
        <v>240100500200000</v>
      </c>
      <c r="C133" s="300" t="s">
        <v>3428</v>
      </c>
      <c r="D133" s="339"/>
      <c r="E133" s="339" t="str">
        <f>+E132</f>
        <v>PDA060</v>
      </c>
      <c r="F133" s="321">
        <v>7746.84</v>
      </c>
      <c r="G133" s="321">
        <v>4829.26</v>
      </c>
      <c r="H133" s="680"/>
    </row>
    <row r="134" spans="1:8">
      <c r="A134" s="299">
        <v>5</v>
      </c>
      <c r="B134" s="672">
        <v>240100500800000</v>
      </c>
      <c r="C134" s="300" t="s">
        <v>3429</v>
      </c>
      <c r="D134" s="339"/>
      <c r="E134" s="339" t="str">
        <f t="shared" ref="E134:E135" si="0">+E133</f>
        <v>PDA060</v>
      </c>
      <c r="F134" s="321"/>
      <c r="G134" s="321"/>
    </row>
    <row r="135" spans="1:8">
      <c r="A135" s="299">
        <v>5</v>
      </c>
      <c r="B135" s="672">
        <v>240100500900000</v>
      </c>
      <c r="C135" s="300" t="s">
        <v>3430</v>
      </c>
      <c r="D135" s="339"/>
      <c r="E135" s="339" t="str">
        <f t="shared" si="0"/>
        <v>PDA060</v>
      </c>
      <c r="F135" s="321"/>
      <c r="G135" s="321"/>
    </row>
    <row r="136" spans="1:8">
      <c r="A136" s="316" t="s">
        <v>1944</v>
      </c>
      <c r="B136" s="673" t="s">
        <v>3431</v>
      </c>
      <c r="C136" s="296" t="s">
        <v>3432</v>
      </c>
      <c r="D136" s="310"/>
      <c r="E136" s="310"/>
      <c r="F136" s="319"/>
      <c r="G136" s="319"/>
    </row>
    <row r="137" spans="1:8">
      <c r="A137" s="316" t="s">
        <v>1946</v>
      </c>
      <c r="B137" s="673" t="s">
        <v>3433</v>
      </c>
      <c r="C137" s="296" t="s">
        <v>3434</v>
      </c>
      <c r="D137" s="310"/>
      <c r="E137" s="310"/>
      <c r="F137" s="319"/>
      <c r="G137" s="319"/>
    </row>
    <row r="138" spans="1:8">
      <c r="A138" s="299" t="s">
        <v>1948</v>
      </c>
      <c r="B138" s="672">
        <v>240150100000000</v>
      </c>
      <c r="C138" s="300" t="s">
        <v>3435</v>
      </c>
      <c r="D138" s="339"/>
      <c r="E138" s="339" t="str">
        <f>+B137</f>
        <v>PDA080</v>
      </c>
      <c r="F138" s="321"/>
      <c r="G138" s="321"/>
    </row>
    <row r="139" spans="1:8">
      <c r="A139" s="316" t="s">
        <v>1946</v>
      </c>
      <c r="B139" s="673" t="s">
        <v>3436</v>
      </c>
      <c r="C139" s="296" t="s">
        <v>3437</v>
      </c>
      <c r="D139" s="310"/>
      <c r="E139" s="310"/>
      <c r="F139" s="319"/>
      <c r="G139" s="319"/>
    </row>
    <row r="140" spans="1:8">
      <c r="A140" s="299" t="s">
        <v>1948</v>
      </c>
      <c r="B140" s="672">
        <v>240150150000000</v>
      </c>
      <c r="C140" s="300" t="s">
        <v>3438</v>
      </c>
      <c r="D140" s="339"/>
      <c r="E140" s="339" t="str">
        <f>+B139</f>
        <v>PDA081</v>
      </c>
      <c r="F140" s="321"/>
      <c r="G140" s="321"/>
    </row>
    <row r="141" spans="1:8">
      <c r="A141" s="316" t="s">
        <v>1946</v>
      </c>
      <c r="B141" s="673" t="s">
        <v>3439</v>
      </c>
      <c r="C141" s="296" t="s">
        <v>3440</v>
      </c>
      <c r="D141" s="310" t="s">
        <v>1238</v>
      </c>
      <c r="E141" s="310"/>
      <c r="F141" s="319"/>
      <c r="G141" s="319"/>
    </row>
    <row r="142" spans="1:8">
      <c r="A142" s="299" t="s">
        <v>1948</v>
      </c>
      <c r="B142" s="672">
        <v>240150200000000</v>
      </c>
      <c r="C142" s="300" t="s">
        <v>3441</v>
      </c>
      <c r="D142" s="339" t="s">
        <v>1238</v>
      </c>
      <c r="E142" s="339" t="str">
        <f>+B141</f>
        <v>PDA090</v>
      </c>
      <c r="F142" s="321"/>
      <c r="G142" s="321"/>
    </row>
    <row r="143" spans="1:8">
      <c r="A143" s="316" t="s">
        <v>1946</v>
      </c>
      <c r="B143" s="673" t="s">
        <v>3442</v>
      </c>
      <c r="C143" s="296" t="s">
        <v>3443</v>
      </c>
      <c r="D143" s="310"/>
      <c r="E143" s="310"/>
      <c r="F143" s="319"/>
      <c r="G143" s="319"/>
    </row>
    <row r="144" spans="1:8">
      <c r="A144" s="299" t="s">
        <v>1948</v>
      </c>
      <c r="B144" s="672">
        <v>240150300000000</v>
      </c>
      <c r="C144" s="300" t="s">
        <v>3444</v>
      </c>
      <c r="D144" s="339"/>
      <c r="E144" s="339" t="str">
        <f>+B143</f>
        <v>PDA100</v>
      </c>
      <c r="F144" s="321"/>
      <c r="G144" s="321"/>
    </row>
    <row r="145" spans="1:8">
      <c r="A145" s="316" t="s">
        <v>1946</v>
      </c>
      <c r="B145" s="673" t="s">
        <v>3445</v>
      </c>
      <c r="C145" s="296" t="s">
        <v>3446</v>
      </c>
      <c r="D145" s="310"/>
      <c r="E145" s="310"/>
      <c r="F145" s="319"/>
      <c r="G145" s="319"/>
    </row>
    <row r="146" spans="1:8">
      <c r="A146" s="299" t="s">
        <v>1948</v>
      </c>
      <c r="B146" s="672">
        <v>240150350000000</v>
      </c>
      <c r="C146" s="300" t="s">
        <v>3447</v>
      </c>
      <c r="D146" s="339"/>
      <c r="E146" s="339" t="str">
        <f>+B145</f>
        <v>PDA101</v>
      </c>
      <c r="F146" s="321"/>
      <c r="G146" s="321"/>
    </row>
    <row r="147" spans="1:8">
      <c r="A147" s="316" t="s">
        <v>1946</v>
      </c>
      <c r="B147" s="673" t="s">
        <v>3448</v>
      </c>
      <c r="C147" s="296" t="s">
        <v>3449</v>
      </c>
      <c r="D147" s="310"/>
      <c r="E147" s="310"/>
      <c r="F147" s="319"/>
      <c r="G147" s="319"/>
    </row>
    <row r="148" spans="1:8">
      <c r="A148" s="299" t="s">
        <v>1948</v>
      </c>
      <c r="B148" s="672">
        <v>240150400000000</v>
      </c>
      <c r="C148" s="300" t="s">
        <v>3450</v>
      </c>
      <c r="D148" s="339"/>
      <c r="E148" s="339" t="str">
        <f>+B147</f>
        <v>PDA110</v>
      </c>
      <c r="F148" s="321"/>
      <c r="G148" s="321"/>
    </row>
    <row r="149" spans="1:8" ht="25.5">
      <c r="A149" s="316" t="s">
        <v>1946</v>
      </c>
      <c r="B149" s="673" t="s">
        <v>3451</v>
      </c>
      <c r="C149" s="296" t="s">
        <v>3452</v>
      </c>
      <c r="D149" s="310"/>
      <c r="E149" s="310"/>
      <c r="F149" s="319"/>
      <c r="G149" s="319"/>
    </row>
    <row r="150" spans="1:8" ht="24">
      <c r="A150" s="299" t="s">
        <v>1948</v>
      </c>
      <c r="B150" s="672">
        <v>240150410000000</v>
      </c>
      <c r="C150" s="300" t="s">
        <v>3453</v>
      </c>
      <c r="D150" s="339"/>
      <c r="E150" s="339" t="str">
        <f>+B149</f>
        <v>PDA111</v>
      </c>
      <c r="F150" s="321"/>
      <c r="G150" s="321"/>
    </row>
    <row r="151" spans="1:8">
      <c r="A151" s="316" t="s">
        <v>1946</v>
      </c>
      <c r="B151" s="673" t="s">
        <v>3454</v>
      </c>
      <c r="C151" s="296" t="s">
        <v>3455</v>
      </c>
      <c r="D151" s="310"/>
      <c r="E151" s="310"/>
      <c r="F151" s="319"/>
      <c r="G151" s="319"/>
    </row>
    <row r="152" spans="1:8">
      <c r="A152" s="299" t="s">
        <v>1948</v>
      </c>
      <c r="B152" s="672">
        <v>240150420000000</v>
      </c>
      <c r="C152" s="300" t="s">
        <v>3456</v>
      </c>
      <c r="D152" s="339"/>
      <c r="E152" s="339" t="str">
        <f>+B151</f>
        <v>PDA112</v>
      </c>
      <c r="F152" s="321"/>
      <c r="G152" s="321"/>
    </row>
    <row r="153" spans="1:8">
      <c r="A153" s="316" t="s">
        <v>1946</v>
      </c>
      <c r="B153" s="673" t="s">
        <v>3457</v>
      </c>
      <c r="C153" s="296" t="s">
        <v>3458</v>
      </c>
      <c r="D153" s="310"/>
      <c r="E153" s="310"/>
      <c r="F153" s="319"/>
      <c r="G153" s="319"/>
    </row>
    <row r="154" spans="1:8">
      <c r="A154" s="299" t="s">
        <v>1948</v>
      </c>
      <c r="B154" s="672">
        <v>240150430000000</v>
      </c>
      <c r="C154" s="300" t="s">
        <v>3459</v>
      </c>
      <c r="D154" s="339"/>
      <c r="E154" s="339" t="str">
        <f>+B153</f>
        <v>PDA120</v>
      </c>
      <c r="F154" s="321"/>
      <c r="G154" s="321"/>
    </row>
    <row r="155" spans="1:8">
      <c r="A155" s="316" t="s">
        <v>1946</v>
      </c>
      <c r="B155" s="673" t="s">
        <v>3460</v>
      </c>
      <c r="C155" s="296" t="s">
        <v>3461</v>
      </c>
      <c r="D155" s="310"/>
      <c r="E155" s="310"/>
      <c r="F155" s="319"/>
      <c r="G155" s="319"/>
    </row>
    <row r="156" spans="1:8">
      <c r="A156" s="299">
        <v>5</v>
      </c>
      <c r="B156" s="672">
        <v>240150500100000</v>
      </c>
      <c r="C156" s="300" t="s">
        <v>3462</v>
      </c>
      <c r="D156" s="339"/>
      <c r="E156" s="339" t="str">
        <f>+B155</f>
        <v>PDA121</v>
      </c>
      <c r="F156" s="321"/>
      <c r="G156" s="321"/>
    </row>
    <row r="157" spans="1:8">
      <c r="A157" s="299">
        <v>5</v>
      </c>
      <c r="B157" s="672">
        <v>240150500200000</v>
      </c>
      <c r="C157" s="300" t="s">
        <v>3463</v>
      </c>
      <c r="D157" s="339"/>
      <c r="E157" s="339" t="str">
        <f>+E156</f>
        <v>PDA121</v>
      </c>
      <c r="F157" s="321">
        <v>18331.72</v>
      </c>
      <c r="G157" s="321">
        <v>18331.72</v>
      </c>
      <c r="H157" s="676"/>
    </row>
    <row r="158" spans="1:8">
      <c r="A158" s="299">
        <v>5</v>
      </c>
      <c r="B158" s="672">
        <v>240150500300000</v>
      </c>
      <c r="C158" s="300" t="s">
        <v>3464</v>
      </c>
      <c r="D158" s="339"/>
      <c r="E158" s="339" t="str">
        <f t="shared" ref="E158:E160" si="1">+E157</f>
        <v>PDA121</v>
      </c>
      <c r="F158" s="321">
        <v>2001720.69</v>
      </c>
      <c r="G158" s="321">
        <v>5951686.0599999996</v>
      </c>
    </row>
    <row r="159" spans="1:8">
      <c r="A159" s="299">
        <v>5</v>
      </c>
      <c r="B159" s="672">
        <v>240150500800000</v>
      </c>
      <c r="C159" s="300" t="s">
        <v>3465</v>
      </c>
      <c r="D159" s="339"/>
      <c r="E159" s="339" t="str">
        <f t="shared" si="1"/>
        <v>PDA121</v>
      </c>
      <c r="F159" s="321">
        <v>536</v>
      </c>
      <c r="G159" s="321">
        <v>536</v>
      </c>
    </row>
    <row r="160" spans="1:8">
      <c r="A160" s="299">
        <v>5</v>
      </c>
      <c r="B160" s="672">
        <v>240150500900000</v>
      </c>
      <c r="C160" s="300" t="s">
        <v>3466</v>
      </c>
      <c r="D160" s="339"/>
      <c r="E160" s="339" t="str">
        <f t="shared" si="1"/>
        <v>PDA121</v>
      </c>
      <c r="F160" s="321"/>
      <c r="G160" s="321"/>
    </row>
    <row r="161" spans="1:7">
      <c r="A161" s="316" t="s">
        <v>1944</v>
      </c>
      <c r="B161" s="673" t="s">
        <v>3467</v>
      </c>
      <c r="C161" s="296" t="s">
        <v>3468</v>
      </c>
      <c r="D161" s="310"/>
      <c r="E161" s="310"/>
      <c r="F161" s="319"/>
      <c r="G161" s="319"/>
    </row>
    <row r="162" spans="1:7">
      <c r="A162" s="299">
        <v>4</v>
      </c>
      <c r="B162" s="672">
        <v>240200100000000</v>
      </c>
      <c r="C162" s="300" t="s">
        <v>3469</v>
      </c>
      <c r="D162" s="339"/>
      <c r="E162" s="339" t="str">
        <f>+B161</f>
        <v>PDA130</v>
      </c>
      <c r="F162" s="321"/>
      <c r="G162" s="321"/>
    </row>
    <row r="163" spans="1:7">
      <c r="A163" s="299">
        <v>4</v>
      </c>
      <c r="B163" s="672">
        <v>240200200000000</v>
      </c>
      <c r="C163" s="300" t="s">
        <v>3470</v>
      </c>
      <c r="D163" s="339"/>
      <c r="E163" s="339" t="str">
        <f>+E162</f>
        <v>PDA130</v>
      </c>
      <c r="F163" s="321"/>
      <c r="G163" s="321"/>
    </row>
    <row r="164" spans="1:7">
      <c r="A164" s="299">
        <v>4</v>
      </c>
      <c r="B164" s="672">
        <v>240200800000000</v>
      </c>
      <c r="C164" s="300" t="s">
        <v>3471</v>
      </c>
      <c r="D164" s="339"/>
      <c r="E164" s="339" t="str">
        <f t="shared" ref="E164:E165" si="2">+E163</f>
        <v>PDA130</v>
      </c>
      <c r="F164" s="321"/>
      <c r="G164" s="321"/>
    </row>
    <row r="165" spans="1:7">
      <c r="A165" s="299">
        <v>4</v>
      </c>
      <c r="B165" s="672">
        <v>240200900000000</v>
      </c>
      <c r="C165" s="300" t="s">
        <v>3472</v>
      </c>
      <c r="D165" s="339"/>
      <c r="E165" s="339" t="str">
        <f t="shared" si="2"/>
        <v>PDA130</v>
      </c>
      <c r="F165" s="321"/>
      <c r="G165" s="321"/>
    </row>
    <row r="166" spans="1:7">
      <c r="A166" s="316" t="s">
        <v>1944</v>
      </c>
      <c r="B166" s="673" t="s">
        <v>3473</v>
      </c>
      <c r="C166" s="296" t="s">
        <v>3474</v>
      </c>
      <c r="D166" s="310"/>
      <c r="E166" s="310"/>
      <c r="F166" s="319"/>
      <c r="G166" s="319"/>
    </row>
    <row r="167" spans="1:7">
      <c r="A167" s="316" t="s">
        <v>1946</v>
      </c>
      <c r="B167" s="673" t="s">
        <v>3475</v>
      </c>
      <c r="C167" s="296" t="s">
        <v>3476</v>
      </c>
      <c r="D167" s="310"/>
      <c r="E167" s="310"/>
      <c r="F167" s="319"/>
      <c r="G167" s="319"/>
    </row>
    <row r="168" spans="1:7" ht="25.5">
      <c r="A168" s="316" t="s">
        <v>1948</v>
      </c>
      <c r="B168" s="673" t="s">
        <v>3477</v>
      </c>
      <c r="C168" s="296" t="s">
        <v>3478</v>
      </c>
      <c r="D168" s="310" t="s">
        <v>3052</v>
      </c>
      <c r="E168" s="310"/>
      <c r="F168" s="319"/>
      <c r="G168" s="319"/>
    </row>
    <row r="169" spans="1:7">
      <c r="A169" s="299" t="s">
        <v>1950</v>
      </c>
      <c r="B169" s="672">
        <v>240250100100000</v>
      </c>
      <c r="C169" s="300" t="s">
        <v>3479</v>
      </c>
      <c r="D169" s="339" t="s">
        <v>3052</v>
      </c>
      <c r="E169" s="339"/>
      <c r="F169" s="321"/>
      <c r="G169" s="321"/>
    </row>
    <row r="170" spans="1:7" ht="25.5">
      <c r="A170" s="316" t="s">
        <v>1948</v>
      </c>
      <c r="B170" s="673" t="s">
        <v>3480</v>
      </c>
      <c r="C170" s="296" t="s">
        <v>3481</v>
      </c>
      <c r="D170" s="310" t="s">
        <v>3052</v>
      </c>
      <c r="E170" s="310"/>
      <c r="F170" s="319"/>
      <c r="G170" s="319"/>
    </row>
    <row r="171" spans="1:7" ht="24">
      <c r="A171" s="299" t="s">
        <v>1950</v>
      </c>
      <c r="B171" s="672">
        <v>240250100200000</v>
      </c>
      <c r="C171" s="300" t="s">
        <v>3482</v>
      </c>
      <c r="D171" s="339" t="s">
        <v>3052</v>
      </c>
      <c r="E171" s="339"/>
      <c r="F171" s="321"/>
      <c r="G171" s="321"/>
    </row>
    <row r="172" spans="1:7" ht="25.5">
      <c r="A172" s="316" t="s">
        <v>1948</v>
      </c>
      <c r="B172" s="673" t="s">
        <v>3483</v>
      </c>
      <c r="C172" s="296" t="s">
        <v>3484</v>
      </c>
      <c r="D172" s="310" t="s">
        <v>3052</v>
      </c>
      <c r="E172" s="310"/>
      <c r="F172" s="319"/>
      <c r="G172" s="319"/>
    </row>
    <row r="173" spans="1:7" ht="24">
      <c r="A173" s="299" t="s">
        <v>1950</v>
      </c>
      <c r="B173" s="672">
        <v>240250100300000</v>
      </c>
      <c r="C173" s="300" t="s">
        <v>3485</v>
      </c>
      <c r="D173" s="339" t="s">
        <v>3052</v>
      </c>
      <c r="E173" s="339"/>
      <c r="F173" s="321"/>
      <c r="G173" s="321"/>
    </row>
    <row r="174" spans="1:7" ht="25.5">
      <c r="A174" s="316" t="s">
        <v>1948</v>
      </c>
      <c r="B174" s="673" t="s">
        <v>3486</v>
      </c>
      <c r="C174" s="296" t="s">
        <v>3487</v>
      </c>
      <c r="D174" s="310" t="s">
        <v>3052</v>
      </c>
      <c r="E174" s="310"/>
      <c r="F174" s="319"/>
      <c r="G174" s="319"/>
    </row>
    <row r="175" spans="1:7">
      <c r="A175" s="299" t="s">
        <v>1950</v>
      </c>
      <c r="B175" s="672">
        <v>240250100400000</v>
      </c>
      <c r="C175" s="300" t="s">
        <v>3488</v>
      </c>
      <c r="D175" s="339" t="s">
        <v>3052</v>
      </c>
      <c r="E175" s="339"/>
      <c r="F175" s="321"/>
      <c r="G175" s="321"/>
    </row>
    <row r="176" spans="1:7" ht="25.5">
      <c r="A176" s="316" t="s">
        <v>1948</v>
      </c>
      <c r="B176" s="673" t="s">
        <v>3489</v>
      </c>
      <c r="C176" s="296" t="s">
        <v>3490</v>
      </c>
      <c r="D176" s="310" t="s">
        <v>3052</v>
      </c>
      <c r="E176" s="310"/>
      <c r="F176" s="319"/>
      <c r="G176" s="319"/>
    </row>
    <row r="177" spans="1:10">
      <c r="A177" s="299">
        <v>6</v>
      </c>
      <c r="B177" s="672">
        <v>240250100501000</v>
      </c>
      <c r="C177" s="300" t="s">
        <v>3491</v>
      </c>
      <c r="D177" s="339" t="s">
        <v>3052</v>
      </c>
      <c r="E177" s="339"/>
      <c r="F177" s="321"/>
      <c r="G177" s="321"/>
    </row>
    <row r="178" spans="1:10" ht="24">
      <c r="A178" s="299">
        <v>6</v>
      </c>
      <c r="B178" s="672">
        <v>240250100508000</v>
      </c>
      <c r="C178" s="300" t="s">
        <v>3492</v>
      </c>
      <c r="D178" s="339" t="s">
        <v>3052</v>
      </c>
      <c r="E178" s="339"/>
      <c r="F178" s="321"/>
      <c r="G178" s="321"/>
    </row>
    <row r="179" spans="1:10" ht="24">
      <c r="A179" s="299">
        <v>6</v>
      </c>
      <c r="B179" s="672">
        <v>240250100509000</v>
      </c>
      <c r="C179" s="300" t="s">
        <v>3493</v>
      </c>
      <c r="D179" s="339" t="s">
        <v>3052</v>
      </c>
      <c r="E179" s="339"/>
      <c r="F179" s="321"/>
      <c r="G179" s="321"/>
    </row>
    <row r="180" spans="1:10" ht="25.5">
      <c r="A180" s="316" t="s">
        <v>1948</v>
      </c>
      <c r="B180" s="673" t="s">
        <v>3494</v>
      </c>
      <c r="C180" s="296" t="s">
        <v>3495</v>
      </c>
      <c r="D180" s="310" t="s">
        <v>3052</v>
      </c>
      <c r="E180" s="310"/>
      <c r="F180" s="319"/>
      <c r="G180" s="319"/>
    </row>
    <row r="181" spans="1:10">
      <c r="A181" s="299">
        <v>6</v>
      </c>
      <c r="B181" s="672">
        <v>240250100601000</v>
      </c>
      <c r="C181" s="300" t="s">
        <v>3496</v>
      </c>
      <c r="D181" s="339" t="s">
        <v>3052</v>
      </c>
      <c r="E181" s="339"/>
      <c r="F181" s="321">
        <f>70517907.41+933134.03+60000</f>
        <v>71511041.439999998</v>
      </c>
      <c r="G181" s="321">
        <v>77401190.049999997</v>
      </c>
      <c r="H181" s="676"/>
      <c r="J181" s="676"/>
    </row>
    <row r="182" spans="1:10" ht="24">
      <c r="A182" s="299">
        <v>6</v>
      </c>
      <c r="B182" s="672">
        <v>240250100608000</v>
      </c>
      <c r="C182" s="300" t="s">
        <v>3497</v>
      </c>
      <c r="D182" s="339" t="s">
        <v>3052</v>
      </c>
      <c r="E182" s="339"/>
      <c r="F182" s="321">
        <v>90100.93</v>
      </c>
      <c r="G182" s="321">
        <v>68069.490000000005</v>
      </c>
      <c r="J182" s="681"/>
    </row>
    <row r="183" spans="1:10" ht="24">
      <c r="A183" s="299">
        <v>6</v>
      </c>
      <c r="B183" s="672">
        <v>240250100609000</v>
      </c>
      <c r="C183" s="300" t="s">
        <v>3498</v>
      </c>
      <c r="D183" s="339" t="s">
        <v>3052</v>
      </c>
      <c r="E183" s="339"/>
      <c r="F183" s="321">
        <v>-184.18</v>
      </c>
      <c r="G183" s="321"/>
    </row>
    <row r="184" spans="1:10" ht="25.5">
      <c r="A184" s="316" t="s">
        <v>1948</v>
      </c>
      <c r="B184" s="673" t="s">
        <v>3499</v>
      </c>
      <c r="C184" s="296" t="s">
        <v>3500</v>
      </c>
      <c r="D184" s="310" t="s">
        <v>3052</v>
      </c>
      <c r="E184" s="310"/>
      <c r="F184" s="319"/>
      <c r="G184" s="319"/>
    </row>
    <row r="185" spans="1:10">
      <c r="A185" s="299" t="s">
        <v>1950</v>
      </c>
      <c r="B185" s="672">
        <v>240250100700000</v>
      </c>
      <c r="C185" s="300" t="s">
        <v>3501</v>
      </c>
      <c r="D185" s="339" t="s">
        <v>3052</v>
      </c>
      <c r="E185" s="339"/>
      <c r="F185" s="321"/>
      <c r="G185" s="321"/>
    </row>
    <row r="186" spans="1:10" ht="25.5">
      <c r="A186" s="316" t="s">
        <v>1948</v>
      </c>
      <c r="B186" s="673" t="s">
        <v>3502</v>
      </c>
      <c r="C186" s="296" t="s">
        <v>3503</v>
      </c>
      <c r="D186" s="310" t="s">
        <v>3052</v>
      </c>
      <c r="E186" s="310"/>
      <c r="F186" s="319"/>
      <c r="G186" s="319"/>
    </row>
    <row r="187" spans="1:10" ht="24">
      <c r="A187" s="299" t="s">
        <v>1950</v>
      </c>
      <c r="B187" s="672">
        <v>240250100800000</v>
      </c>
      <c r="C187" s="300" t="s">
        <v>3504</v>
      </c>
      <c r="D187" s="339" t="s">
        <v>3052</v>
      </c>
      <c r="E187" s="339"/>
      <c r="F187" s="321"/>
      <c r="G187" s="321"/>
    </row>
    <row r="188" spans="1:10">
      <c r="A188" s="316" t="s">
        <v>1948</v>
      </c>
      <c r="B188" s="673" t="s">
        <v>3505</v>
      </c>
      <c r="C188" s="296" t="s">
        <v>3506</v>
      </c>
      <c r="D188" s="310"/>
      <c r="E188" s="310"/>
      <c r="F188" s="319"/>
      <c r="G188" s="319"/>
    </row>
    <row r="189" spans="1:10">
      <c r="A189" s="299" t="s">
        <v>1950</v>
      </c>
      <c r="B189" s="672">
        <v>240250100900000</v>
      </c>
      <c r="C189" s="300" t="s">
        <v>3507</v>
      </c>
      <c r="D189" s="339" t="s">
        <v>3052</v>
      </c>
      <c r="E189" s="339"/>
      <c r="F189" s="321"/>
      <c r="G189" s="321"/>
    </row>
    <row r="190" spans="1:10">
      <c r="A190" s="316" t="s">
        <v>1946</v>
      </c>
      <c r="B190" s="673" t="s">
        <v>3508</v>
      </c>
      <c r="C190" s="296" t="s">
        <v>3509</v>
      </c>
      <c r="D190" s="310"/>
      <c r="E190" s="310"/>
      <c r="F190" s="319"/>
      <c r="G190" s="319"/>
    </row>
    <row r="191" spans="1:10">
      <c r="A191" s="299">
        <v>5</v>
      </c>
      <c r="B191" s="672">
        <v>240250200100000</v>
      </c>
      <c r="C191" s="300" t="s">
        <v>3510</v>
      </c>
      <c r="D191" s="339"/>
      <c r="E191" s="339" t="str">
        <f>+B190</f>
        <v>PDA220</v>
      </c>
      <c r="F191" s="321">
        <v>203629.07</v>
      </c>
      <c r="G191" s="321">
        <v>161182.64000000001</v>
      </c>
      <c r="H191" s="676"/>
    </row>
    <row r="192" spans="1:10">
      <c r="A192" s="299">
        <v>5</v>
      </c>
      <c r="B192" s="672">
        <v>240250200800000</v>
      </c>
      <c r="C192" s="300" t="s">
        <v>3511</v>
      </c>
      <c r="D192" s="339"/>
      <c r="E192" s="339" t="str">
        <f>+E191</f>
        <v>PDA220</v>
      </c>
      <c r="F192" s="321">
        <v>53838.64</v>
      </c>
      <c r="G192" s="321">
        <v>17200.240000000002</v>
      </c>
    </row>
    <row r="193" spans="1:7">
      <c r="A193" s="299">
        <v>5</v>
      </c>
      <c r="B193" s="672">
        <v>240250200900000</v>
      </c>
      <c r="C193" s="300" t="s">
        <v>3512</v>
      </c>
      <c r="D193" s="339"/>
      <c r="E193" s="339" t="str">
        <f t="shared" ref="E193" si="3">+E192</f>
        <v>PDA220</v>
      </c>
      <c r="F193" s="321">
        <v>-256.56</v>
      </c>
      <c r="G193" s="321"/>
    </row>
    <row r="194" spans="1:7" ht="25.5">
      <c r="A194" s="316" t="s">
        <v>1946</v>
      </c>
      <c r="B194" s="673" t="s">
        <v>3513</v>
      </c>
      <c r="C194" s="296" t="s">
        <v>3514</v>
      </c>
      <c r="D194" s="310"/>
      <c r="E194" s="310"/>
      <c r="F194" s="319"/>
      <c r="G194" s="319"/>
    </row>
    <row r="195" spans="1:7" ht="25.5">
      <c r="A195" s="316" t="s">
        <v>1948</v>
      </c>
      <c r="B195" s="673" t="s">
        <v>3515</v>
      </c>
      <c r="C195" s="296" t="s">
        <v>3516</v>
      </c>
      <c r="D195" s="310"/>
      <c r="E195" s="310"/>
      <c r="F195" s="319"/>
      <c r="G195" s="319"/>
    </row>
    <row r="196" spans="1:7" ht="24">
      <c r="A196" s="299" t="s">
        <v>1950</v>
      </c>
      <c r="B196" s="672">
        <v>240250300100000</v>
      </c>
      <c r="C196" s="300" t="s">
        <v>3517</v>
      </c>
      <c r="D196" s="339" t="s">
        <v>3052</v>
      </c>
      <c r="E196" s="339"/>
      <c r="F196" s="321"/>
      <c r="G196" s="321"/>
    </row>
    <row r="197" spans="1:7" ht="25.5">
      <c r="A197" s="316" t="s">
        <v>1948</v>
      </c>
      <c r="B197" s="673" t="s">
        <v>3518</v>
      </c>
      <c r="C197" s="296" t="s">
        <v>3519</v>
      </c>
      <c r="D197" s="310"/>
      <c r="E197" s="310"/>
      <c r="F197" s="319"/>
      <c r="G197" s="319"/>
    </row>
    <row r="198" spans="1:7" ht="24">
      <c r="A198" s="299" t="s">
        <v>1950</v>
      </c>
      <c r="B198" s="672">
        <v>240250300200000</v>
      </c>
      <c r="C198" s="300" t="s">
        <v>3520</v>
      </c>
      <c r="D198" s="339" t="s">
        <v>3052</v>
      </c>
      <c r="E198" s="339"/>
      <c r="F198" s="321"/>
      <c r="G198" s="321"/>
    </row>
    <row r="199" spans="1:7" ht="25.5">
      <c r="A199" s="316" t="s">
        <v>1948</v>
      </c>
      <c r="B199" s="673" t="s">
        <v>3521</v>
      </c>
      <c r="C199" s="296" t="s">
        <v>3522</v>
      </c>
      <c r="D199" s="310"/>
      <c r="E199" s="310"/>
      <c r="F199" s="319"/>
      <c r="G199" s="319"/>
    </row>
    <row r="200" spans="1:7" ht="24">
      <c r="A200" s="299" t="s">
        <v>1950</v>
      </c>
      <c r="B200" s="672">
        <v>240250300300000</v>
      </c>
      <c r="C200" s="300" t="s">
        <v>3523</v>
      </c>
      <c r="D200" s="339" t="s">
        <v>3052</v>
      </c>
      <c r="E200" s="339"/>
      <c r="F200" s="321"/>
      <c r="G200" s="321"/>
    </row>
    <row r="201" spans="1:7" ht="25.5">
      <c r="A201" s="316" t="s">
        <v>1948</v>
      </c>
      <c r="B201" s="673" t="s">
        <v>3524</v>
      </c>
      <c r="C201" s="296" t="s">
        <v>3525</v>
      </c>
      <c r="D201" s="310"/>
      <c r="E201" s="310"/>
      <c r="F201" s="319"/>
      <c r="G201" s="319"/>
    </row>
    <row r="202" spans="1:7" ht="24">
      <c r="A202" s="299" t="s">
        <v>1950</v>
      </c>
      <c r="B202" s="672">
        <v>240250300400000</v>
      </c>
      <c r="C202" s="300" t="s">
        <v>3526</v>
      </c>
      <c r="D202" s="339" t="s">
        <v>3052</v>
      </c>
      <c r="E202" s="339"/>
      <c r="F202" s="321"/>
      <c r="G202" s="321"/>
    </row>
    <row r="203" spans="1:7" ht="25.5">
      <c r="A203" s="316" t="s">
        <v>1948</v>
      </c>
      <c r="B203" s="673" t="s">
        <v>3527</v>
      </c>
      <c r="C203" s="296" t="s">
        <v>3528</v>
      </c>
      <c r="D203" s="310"/>
      <c r="E203" s="310"/>
      <c r="F203" s="319"/>
      <c r="G203" s="319"/>
    </row>
    <row r="204" spans="1:7" ht="24">
      <c r="A204" s="299" t="s">
        <v>1950</v>
      </c>
      <c r="B204" s="672">
        <v>240250300500000</v>
      </c>
      <c r="C204" s="300" t="s">
        <v>3529</v>
      </c>
      <c r="D204" s="339" t="s">
        <v>3052</v>
      </c>
      <c r="E204" s="339"/>
      <c r="F204" s="321"/>
      <c r="G204" s="321"/>
    </row>
    <row r="205" spans="1:7">
      <c r="A205" s="316" t="s">
        <v>1944</v>
      </c>
      <c r="B205" s="673" t="s">
        <v>3530</v>
      </c>
      <c r="C205" s="296" t="s">
        <v>3531</v>
      </c>
      <c r="D205" s="310"/>
      <c r="E205" s="310"/>
      <c r="F205" s="319"/>
      <c r="G205" s="319"/>
    </row>
    <row r="206" spans="1:7">
      <c r="A206" s="316" t="s">
        <v>1946</v>
      </c>
      <c r="B206" s="673" t="s">
        <v>3532</v>
      </c>
      <c r="C206" s="296" t="s">
        <v>3533</v>
      </c>
      <c r="D206" s="310"/>
      <c r="E206" s="310"/>
      <c r="F206" s="319"/>
      <c r="G206" s="319"/>
    </row>
    <row r="207" spans="1:7">
      <c r="A207" s="299" t="s">
        <v>1948</v>
      </c>
      <c r="B207" s="672">
        <v>240300100000000</v>
      </c>
      <c r="C207" s="300" t="s">
        <v>3534</v>
      </c>
      <c r="D207" s="339"/>
      <c r="E207" s="339" t="str">
        <f>+B206</f>
        <v>PDA250</v>
      </c>
      <c r="F207" s="321"/>
      <c r="G207" s="321"/>
    </row>
    <row r="208" spans="1:7">
      <c r="A208" s="316" t="s">
        <v>1946</v>
      </c>
      <c r="B208" s="673" t="s">
        <v>3535</v>
      </c>
      <c r="C208" s="296" t="s">
        <v>3536</v>
      </c>
      <c r="D208" s="310"/>
      <c r="E208" s="310"/>
      <c r="F208" s="319"/>
      <c r="G208" s="319"/>
    </row>
    <row r="209" spans="1:8">
      <c r="A209" s="299" t="s">
        <v>1948</v>
      </c>
      <c r="B209" s="672">
        <v>240300200000000</v>
      </c>
      <c r="C209" s="300" t="s">
        <v>3537</v>
      </c>
      <c r="D209" s="339"/>
      <c r="E209" s="339" t="str">
        <f>+B208</f>
        <v>PDA260</v>
      </c>
      <c r="F209" s="321"/>
      <c r="G209" s="321"/>
    </row>
    <row r="210" spans="1:8">
      <c r="A210" s="316" t="s">
        <v>1946</v>
      </c>
      <c r="B210" s="673" t="s">
        <v>3538</v>
      </c>
      <c r="C210" s="296" t="s">
        <v>3539</v>
      </c>
      <c r="D210" s="310"/>
      <c r="E210" s="310"/>
      <c r="F210" s="319"/>
      <c r="G210" s="319"/>
    </row>
    <row r="211" spans="1:8">
      <c r="A211" s="299">
        <v>5</v>
      </c>
      <c r="B211" s="672">
        <v>240300300100000</v>
      </c>
      <c r="C211" s="300" t="s">
        <v>3540</v>
      </c>
      <c r="D211" s="339"/>
      <c r="E211" s="339" t="str">
        <f>+B210</f>
        <v>PDA270</v>
      </c>
      <c r="F211" s="321"/>
      <c r="G211" s="321"/>
    </row>
    <row r="212" spans="1:8">
      <c r="A212" s="299">
        <v>5</v>
      </c>
      <c r="B212" s="672">
        <v>240300300800000</v>
      </c>
      <c r="C212" s="300" t="s">
        <v>3541</v>
      </c>
      <c r="D212" s="339"/>
      <c r="E212" s="339" t="str">
        <f>+E211</f>
        <v>PDA270</v>
      </c>
      <c r="F212" s="321"/>
      <c r="G212" s="321"/>
    </row>
    <row r="213" spans="1:8">
      <c r="A213" s="299">
        <v>5</v>
      </c>
      <c r="B213" s="672">
        <v>240300300900000</v>
      </c>
      <c r="C213" s="300" t="s">
        <v>3542</v>
      </c>
      <c r="D213" s="339"/>
      <c r="E213" s="339" t="str">
        <f>+E212</f>
        <v>PDA270</v>
      </c>
      <c r="F213" s="321"/>
      <c r="G213" s="321"/>
    </row>
    <row r="214" spans="1:8">
      <c r="A214" s="316" t="s">
        <v>1944</v>
      </c>
      <c r="B214" s="673" t="s">
        <v>3543</v>
      </c>
      <c r="C214" s="296" t="s">
        <v>3544</v>
      </c>
      <c r="D214" s="310"/>
      <c r="E214" s="310"/>
      <c r="F214" s="319"/>
      <c r="G214" s="319"/>
    </row>
    <row r="215" spans="1:8" ht="25.5">
      <c r="A215" s="316" t="s">
        <v>1946</v>
      </c>
      <c r="B215" s="673" t="s">
        <v>3545</v>
      </c>
      <c r="C215" s="296" t="s">
        <v>3546</v>
      </c>
      <c r="D215" s="310"/>
      <c r="E215" s="310"/>
      <c r="F215" s="319"/>
      <c r="G215" s="319"/>
    </row>
    <row r="216" spans="1:8" ht="25.5">
      <c r="A216" s="316" t="s">
        <v>1948</v>
      </c>
      <c r="B216" s="673" t="s">
        <v>3547</v>
      </c>
      <c r="C216" s="296" t="s">
        <v>3548</v>
      </c>
      <c r="D216" s="310"/>
      <c r="E216" s="310"/>
      <c r="F216" s="319"/>
      <c r="G216" s="319"/>
    </row>
    <row r="217" spans="1:8">
      <c r="A217" s="299">
        <v>6</v>
      </c>
      <c r="B217" s="672">
        <v>240350100100000</v>
      </c>
      <c r="C217" s="300" t="s">
        <v>3549</v>
      </c>
      <c r="D217" s="339"/>
      <c r="E217" s="339" t="str">
        <f>+B216</f>
        <v>PDA291</v>
      </c>
      <c r="F217" s="321">
        <v>0</v>
      </c>
      <c r="G217" s="321"/>
    </row>
    <row r="218" spans="1:8" ht="24">
      <c r="A218" s="299" t="s">
        <v>1950</v>
      </c>
      <c r="B218" s="672">
        <v>240350100800000</v>
      </c>
      <c r="C218" s="300" t="s">
        <v>3550</v>
      </c>
      <c r="D218" s="339"/>
      <c r="E218" s="339" t="str">
        <f>+E217</f>
        <v>PDA291</v>
      </c>
      <c r="F218" s="321"/>
      <c r="G218" s="321"/>
    </row>
    <row r="219" spans="1:8">
      <c r="A219" s="316" t="s">
        <v>1948</v>
      </c>
      <c r="B219" s="673" t="s">
        <v>3551</v>
      </c>
      <c r="C219" s="296" t="s">
        <v>3552</v>
      </c>
      <c r="D219" s="310"/>
      <c r="E219" s="310"/>
      <c r="F219" s="319"/>
      <c r="G219" s="319"/>
    </row>
    <row r="220" spans="1:8">
      <c r="A220" s="299" t="s">
        <v>1950</v>
      </c>
      <c r="B220" s="672">
        <v>240350100900000</v>
      </c>
      <c r="C220" s="300" t="s">
        <v>3553</v>
      </c>
      <c r="D220" s="339"/>
      <c r="E220" s="339" t="str">
        <f>+B219</f>
        <v>PDA292</v>
      </c>
      <c r="F220" s="321"/>
      <c r="G220" s="321"/>
    </row>
    <row r="221" spans="1:8">
      <c r="A221" s="316" t="s">
        <v>1946</v>
      </c>
      <c r="B221" s="673" t="s">
        <v>3554</v>
      </c>
      <c r="C221" s="296" t="s">
        <v>3555</v>
      </c>
      <c r="D221" s="310"/>
      <c r="E221" s="310"/>
      <c r="F221" s="319"/>
      <c r="G221" s="319"/>
    </row>
    <row r="222" spans="1:8">
      <c r="A222" s="316" t="s">
        <v>1948</v>
      </c>
      <c r="B222" s="673" t="s">
        <v>3556</v>
      </c>
      <c r="C222" s="296" t="s">
        <v>3557</v>
      </c>
      <c r="D222" s="310"/>
      <c r="E222" s="310"/>
      <c r="F222" s="319"/>
      <c r="G222" s="319"/>
    </row>
    <row r="223" spans="1:8">
      <c r="A223" s="299">
        <v>6</v>
      </c>
      <c r="B223" s="672">
        <v>240350200100000</v>
      </c>
      <c r="C223" s="300" t="s">
        <v>3558</v>
      </c>
      <c r="D223" s="339"/>
      <c r="E223" s="339" t="str">
        <f>+B222</f>
        <v>PDA301</v>
      </c>
      <c r="F223" s="321">
        <v>82814274.799999997</v>
      </c>
      <c r="G223" s="321">
        <v>47783774.200000003</v>
      </c>
      <c r="H223" s="676"/>
    </row>
    <row r="224" spans="1:8">
      <c r="A224" s="299">
        <v>6</v>
      </c>
      <c r="B224" s="672">
        <v>240350200200000</v>
      </c>
      <c r="C224" s="300" t="s">
        <v>3559</v>
      </c>
      <c r="D224" s="339"/>
      <c r="E224" s="339" t="str">
        <f>+E223</f>
        <v>PDA301</v>
      </c>
      <c r="F224" s="321">
        <v>390314.42</v>
      </c>
      <c r="G224" s="321">
        <v>152267.29999999999</v>
      </c>
    </row>
    <row r="225" spans="1:10">
      <c r="A225" s="299">
        <v>6</v>
      </c>
      <c r="B225" s="672">
        <v>240350200400000</v>
      </c>
      <c r="C225" s="300" t="s">
        <v>3560</v>
      </c>
      <c r="D225" s="339"/>
      <c r="E225" s="339" t="str">
        <f>+E224</f>
        <v>PDA301</v>
      </c>
      <c r="F225" s="321">
        <v>1308860.6299999999</v>
      </c>
      <c r="G225" s="321">
        <v>1972318.05</v>
      </c>
    </row>
    <row r="226" spans="1:10">
      <c r="A226" s="299">
        <v>6</v>
      </c>
      <c r="B226" s="672">
        <v>240350200500000</v>
      </c>
      <c r="C226" s="300" t="s">
        <v>3561</v>
      </c>
      <c r="D226" s="339"/>
      <c r="E226" s="339" t="str">
        <f>+E225</f>
        <v>PDA301</v>
      </c>
      <c r="F226" s="321"/>
      <c r="G226" s="321"/>
    </row>
    <row r="227" spans="1:10">
      <c r="A227" s="299">
        <v>6</v>
      </c>
      <c r="B227" s="672">
        <v>240350200600000</v>
      </c>
      <c r="C227" s="300" t="s">
        <v>3562</v>
      </c>
      <c r="D227" s="339"/>
      <c r="E227" s="339" t="str">
        <f t="shared" ref="E227:E228" si="4">+E226</f>
        <v>PDA301</v>
      </c>
      <c r="F227" s="321"/>
      <c r="G227" s="321"/>
    </row>
    <row r="228" spans="1:10">
      <c r="A228" s="299">
        <v>6</v>
      </c>
      <c r="B228" s="672">
        <v>240350200800000</v>
      </c>
      <c r="C228" s="300" t="s">
        <v>3563</v>
      </c>
      <c r="D228" s="339"/>
      <c r="E228" s="339" t="str">
        <f t="shared" si="4"/>
        <v>PDA301</v>
      </c>
      <c r="F228" s="321">
        <v>7972324.0899999999</v>
      </c>
      <c r="G228" s="321">
        <v>4474026.7300000004</v>
      </c>
    </row>
    <row r="229" spans="1:10">
      <c r="A229" s="316" t="s">
        <v>1948</v>
      </c>
      <c r="B229" s="673" t="s">
        <v>3564</v>
      </c>
      <c r="C229" s="296" t="s">
        <v>3565</v>
      </c>
      <c r="D229" s="310"/>
      <c r="E229" s="310"/>
      <c r="F229" s="319"/>
      <c r="G229" s="319"/>
    </row>
    <row r="230" spans="1:10">
      <c r="A230" s="299" t="s">
        <v>1950</v>
      </c>
      <c r="B230" s="672">
        <v>240350200900000</v>
      </c>
      <c r="C230" s="300" t="s">
        <v>3566</v>
      </c>
      <c r="D230" s="339"/>
      <c r="E230" s="339" t="str">
        <f>+B229</f>
        <v>PDA302</v>
      </c>
      <c r="F230" s="321">
        <v>-2676155.84</v>
      </c>
      <c r="G230" s="321">
        <v>-2138660.21</v>
      </c>
    </row>
    <row r="231" spans="1:10">
      <c r="A231" s="316" t="s">
        <v>1944</v>
      </c>
      <c r="B231" s="673" t="s">
        <v>3567</v>
      </c>
      <c r="C231" s="296" t="s">
        <v>3568</v>
      </c>
      <c r="D231" s="310"/>
      <c r="E231" s="310"/>
      <c r="F231" s="319"/>
      <c r="G231" s="319"/>
    </row>
    <row r="232" spans="1:10">
      <c r="A232" s="299">
        <v>4</v>
      </c>
      <c r="B232" s="672">
        <v>240400100000000</v>
      </c>
      <c r="C232" s="300" t="s">
        <v>3569</v>
      </c>
      <c r="D232" s="339"/>
      <c r="E232" s="339" t="str">
        <f>+B231</f>
        <v>PDA310</v>
      </c>
      <c r="F232" s="321"/>
      <c r="G232" s="321"/>
    </row>
    <row r="233" spans="1:10">
      <c r="A233" s="299">
        <v>4</v>
      </c>
      <c r="B233" s="672">
        <v>240400200000000</v>
      </c>
      <c r="C233" s="300" t="s">
        <v>3570</v>
      </c>
      <c r="D233" s="339"/>
      <c r="E233" s="339" t="str">
        <f>+E232</f>
        <v>PDA310</v>
      </c>
      <c r="F233" s="321"/>
      <c r="G233" s="321"/>
    </row>
    <row r="234" spans="1:10">
      <c r="A234" s="316" t="s">
        <v>1944</v>
      </c>
      <c r="B234" s="673" t="s">
        <v>3571</v>
      </c>
      <c r="C234" s="296" t="s">
        <v>3572</v>
      </c>
      <c r="D234" s="310"/>
      <c r="E234" s="310"/>
      <c r="F234" s="319"/>
      <c r="G234" s="319"/>
      <c r="H234" s="676"/>
      <c r="I234" s="676"/>
      <c r="J234" s="680"/>
    </row>
    <row r="235" spans="1:10">
      <c r="A235" s="299">
        <v>4</v>
      </c>
      <c r="B235" s="672">
        <v>240450100000000</v>
      </c>
      <c r="C235" s="300" t="s">
        <v>115</v>
      </c>
      <c r="D235" s="339"/>
      <c r="E235" s="339" t="str">
        <f>+B234</f>
        <v>PDA320</v>
      </c>
      <c r="F235" s="321">
        <v>166456.83359999271</v>
      </c>
      <c r="G235" s="321"/>
    </row>
    <row r="236" spans="1:10">
      <c r="A236" s="299">
        <v>4</v>
      </c>
      <c r="B236" s="672">
        <v>240450200000000</v>
      </c>
      <c r="C236" s="300" t="s">
        <v>110</v>
      </c>
      <c r="D236" s="339"/>
      <c r="E236" s="339" t="str">
        <f>+E235</f>
        <v>PDA320</v>
      </c>
      <c r="F236" s="321">
        <v>148387.79</v>
      </c>
      <c r="G236" s="321">
        <v>131360.34</v>
      </c>
    </row>
    <row r="237" spans="1:10">
      <c r="A237" s="299">
        <v>4</v>
      </c>
      <c r="B237" s="672">
        <v>240450300000000</v>
      </c>
      <c r="C237" s="300" t="s">
        <v>3573</v>
      </c>
      <c r="D237" s="339"/>
      <c r="E237" s="339" t="str">
        <f>+E236</f>
        <v>PDA320</v>
      </c>
      <c r="F237" s="321">
        <v>270022.09000000003</v>
      </c>
      <c r="G237" s="321">
        <v>230498</v>
      </c>
    </row>
    <row r="238" spans="1:10">
      <c r="A238" s="299">
        <v>4</v>
      </c>
      <c r="B238" s="672">
        <v>240450400000000</v>
      </c>
      <c r="C238" s="300" t="s">
        <v>3574</v>
      </c>
      <c r="D238" s="339"/>
      <c r="E238" s="339" t="str">
        <f>+E237</f>
        <v>PDA320</v>
      </c>
      <c r="F238" s="321">
        <v>231916.06</v>
      </c>
      <c r="G238" s="321">
        <v>337945.55</v>
      </c>
    </row>
    <row r="239" spans="1:10">
      <c r="A239" s="299">
        <v>4</v>
      </c>
      <c r="B239" s="672">
        <v>240450500000000</v>
      </c>
      <c r="C239" s="300" t="s">
        <v>3575</v>
      </c>
      <c r="D239" s="339"/>
      <c r="E239" s="339" t="str">
        <f t="shared" ref="E239:E240" si="5">+E238</f>
        <v>PDA320</v>
      </c>
      <c r="F239" s="321">
        <v>0</v>
      </c>
      <c r="G239" s="321"/>
    </row>
    <row r="240" spans="1:10">
      <c r="A240" s="299">
        <v>4</v>
      </c>
      <c r="B240" s="672">
        <v>240450600000000</v>
      </c>
      <c r="C240" s="300" t="s">
        <v>3576</v>
      </c>
      <c r="D240" s="339"/>
      <c r="E240" s="339" t="str">
        <f t="shared" si="5"/>
        <v>PDA320</v>
      </c>
      <c r="F240" s="321">
        <v>0</v>
      </c>
      <c r="G240" s="321"/>
    </row>
    <row r="241" spans="1:8">
      <c r="A241" s="299">
        <v>4</v>
      </c>
      <c r="B241" s="672">
        <v>240450600000010</v>
      </c>
      <c r="C241" s="300" t="s">
        <v>3577</v>
      </c>
      <c r="D241" s="339"/>
      <c r="E241" s="339" t="str">
        <f>+E240</f>
        <v>PDA320</v>
      </c>
      <c r="F241" s="321">
        <v>0</v>
      </c>
      <c r="G241" s="321"/>
    </row>
    <row r="242" spans="1:8">
      <c r="A242" s="299">
        <v>4</v>
      </c>
      <c r="B242" s="672">
        <v>240450700000000</v>
      </c>
      <c r="C242" s="300" t="s">
        <v>3578</v>
      </c>
      <c r="D242" s="339"/>
      <c r="E242" s="339" t="str">
        <f t="shared" ref="E242:E246" si="6">+E241</f>
        <v>PDA320</v>
      </c>
      <c r="F242" s="321"/>
      <c r="G242" s="321"/>
    </row>
    <row r="243" spans="1:8">
      <c r="A243" s="299">
        <v>4</v>
      </c>
      <c r="B243" s="672">
        <v>240450800000000</v>
      </c>
      <c r="C243" s="300" t="s">
        <v>3579</v>
      </c>
      <c r="D243" s="339"/>
      <c r="E243" s="339" t="str">
        <f t="shared" si="6"/>
        <v>PDA320</v>
      </c>
      <c r="F243" s="321">
        <v>0</v>
      </c>
      <c r="G243" s="321">
        <v>2628.84</v>
      </c>
    </row>
    <row r="244" spans="1:8">
      <c r="A244" s="299">
        <v>4</v>
      </c>
      <c r="B244" s="672">
        <v>240450800000010</v>
      </c>
      <c r="C244" s="300" t="s">
        <v>3580</v>
      </c>
      <c r="D244" s="339"/>
      <c r="E244" s="339" t="str">
        <f t="shared" si="6"/>
        <v>PDA320</v>
      </c>
      <c r="F244" s="321">
        <v>855755.47</v>
      </c>
      <c r="G244" s="321"/>
    </row>
    <row r="245" spans="1:8">
      <c r="A245" s="299">
        <v>4</v>
      </c>
      <c r="B245" s="672">
        <v>240450800000020</v>
      </c>
      <c r="C245" s="300" t="s">
        <v>3581</v>
      </c>
      <c r="D245" s="339"/>
      <c r="E245" s="339" t="str">
        <f t="shared" si="6"/>
        <v>PDA320</v>
      </c>
      <c r="F245" s="321">
        <v>0</v>
      </c>
      <c r="G245" s="321"/>
    </row>
    <row r="246" spans="1:8">
      <c r="A246" s="299">
        <v>4</v>
      </c>
      <c r="B246" s="672">
        <v>240450900000000</v>
      </c>
      <c r="C246" s="300" t="s">
        <v>3582</v>
      </c>
      <c r="D246" s="339"/>
      <c r="E246" s="339" t="str">
        <f t="shared" si="6"/>
        <v>PDA320</v>
      </c>
      <c r="F246" s="321">
        <v>6769.22</v>
      </c>
      <c r="G246" s="321">
        <v>644</v>
      </c>
    </row>
    <row r="247" spans="1:8">
      <c r="A247" s="316" t="s">
        <v>1944</v>
      </c>
      <c r="B247" s="673" t="s">
        <v>3583</v>
      </c>
      <c r="C247" s="296" t="s">
        <v>3584</v>
      </c>
      <c r="D247" s="310"/>
      <c r="E247" s="310"/>
      <c r="F247" s="319"/>
      <c r="G247" s="319"/>
      <c r="H247" s="676"/>
    </row>
    <row r="248" spans="1:8">
      <c r="A248" s="299">
        <v>4</v>
      </c>
      <c r="B248" s="672">
        <v>240500100000000</v>
      </c>
      <c r="C248" s="300" t="s">
        <v>3585</v>
      </c>
      <c r="D248" s="339"/>
      <c r="E248" s="339" t="str">
        <f>+B247</f>
        <v>PDA330</v>
      </c>
      <c r="F248" s="321">
        <v>423510.51</v>
      </c>
      <c r="G248" s="321">
        <v>363315.98</v>
      </c>
    </row>
    <row r="249" spans="1:8">
      <c r="A249" s="299">
        <v>4</v>
      </c>
      <c r="B249" s="672">
        <v>240500200000000</v>
      </c>
      <c r="C249" s="300" t="s">
        <v>3586</v>
      </c>
      <c r="D249" s="339"/>
      <c r="E249" s="339" t="str">
        <f>+E248</f>
        <v>PDA330</v>
      </c>
      <c r="F249" s="321">
        <v>5510.58</v>
      </c>
      <c r="G249" s="321">
        <v>1477.64</v>
      </c>
    </row>
    <row r="250" spans="1:8">
      <c r="A250" s="299">
        <v>4</v>
      </c>
      <c r="B250" s="672">
        <v>240500300000000</v>
      </c>
      <c r="C250" s="300" t="s">
        <v>3587</v>
      </c>
      <c r="D250" s="339"/>
      <c r="E250" s="339" t="str">
        <f>+E249</f>
        <v>PDA330</v>
      </c>
      <c r="F250" s="321">
        <v>6768.2</v>
      </c>
      <c r="G250" s="321">
        <v>288.31</v>
      </c>
    </row>
    <row r="251" spans="1:8">
      <c r="A251" s="299">
        <v>4</v>
      </c>
      <c r="B251" s="672">
        <v>240500400000000</v>
      </c>
      <c r="C251" s="300" t="s">
        <v>3588</v>
      </c>
      <c r="D251" s="339"/>
      <c r="E251" s="339" t="str">
        <f>+E250</f>
        <v>PDA330</v>
      </c>
      <c r="F251" s="321"/>
      <c r="G251" s="321"/>
    </row>
    <row r="252" spans="1:8">
      <c r="A252" s="299">
        <v>4</v>
      </c>
      <c r="B252" s="672">
        <v>240500500000000</v>
      </c>
      <c r="C252" s="300" t="s">
        <v>3589</v>
      </c>
      <c r="D252" s="339"/>
      <c r="E252" s="339" t="str">
        <f t="shared" ref="E252:E253" si="7">+E251</f>
        <v>PDA330</v>
      </c>
      <c r="F252" s="321"/>
      <c r="G252" s="321"/>
    </row>
    <row r="253" spans="1:8">
      <c r="A253" s="299">
        <v>4</v>
      </c>
      <c r="B253" s="672">
        <v>240500600000000</v>
      </c>
      <c r="C253" s="300" t="s">
        <v>3590</v>
      </c>
      <c r="D253" s="339"/>
      <c r="E253" s="339" t="str">
        <f t="shared" si="7"/>
        <v>PDA330</v>
      </c>
      <c r="F253" s="321">
        <v>1291.27</v>
      </c>
      <c r="G253" s="321">
        <v>1256.3800000000001</v>
      </c>
    </row>
    <row r="254" spans="1:8">
      <c r="A254" s="299">
        <v>4</v>
      </c>
      <c r="B254" s="672">
        <v>240500700000000</v>
      </c>
      <c r="C254" s="300" t="s">
        <v>3591</v>
      </c>
      <c r="D254" s="339"/>
      <c r="E254" s="339" t="str">
        <f>+E253</f>
        <v>PDA330</v>
      </c>
      <c r="F254" s="321"/>
      <c r="G254" s="321"/>
    </row>
    <row r="255" spans="1:8">
      <c r="A255" s="299">
        <v>4</v>
      </c>
      <c r="B255" s="672">
        <v>240500800000000</v>
      </c>
      <c r="C255" s="300" t="s">
        <v>3592</v>
      </c>
      <c r="D255" s="339"/>
      <c r="E255" s="339" t="str">
        <f t="shared" ref="E255:E256" si="8">+E254</f>
        <v>PDA330</v>
      </c>
      <c r="F255" s="321"/>
      <c r="G255" s="321"/>
    </row>
    <row r="256" spans="1:8">
      <c r="A256" s="299">
        <v>4</v>
      </c>
      <c r="B256" s="672">
        <v>240500900000000</v>
      </c>
      <c r="C256" s="300" t="s">
        <v>3593</v>
      </c>
      <c r="D256" s="339"/>
      <c r="E256" s="339" t="str">
        <f t="shared" si="8"/>
        <v>PDA330</v>
      </c>
      <c r="F256" s="321">
        <v>5266.26</v>
      </c>
      <c r="G256" s="321">
        <v>3321.42</v>
      </c>
    </row>
    <row r="257" spans="1:8">
      <c r="A257" s="316" t="s">
        <v>1944</v>
      </c>
      <c r="B257" s="673" t="s">
        <v>3594</v>
      </c>
      <c r="C257" s="296" t="s">
        <v>3595</v>
      </c>
      <c r="D257" s="310"/>
      <c r="E257" s="310"/>
      <c r="F257" s="319"/>
      <c r="G257" s="319"/>
    </row>
    <row r="258" spans="1:8">
      <c r="A258" s="316" t="s">
        <v>1946</v>
      </c>
      <c r="B258" s="673" t="s">
        <v>3596</v>
      </c>
      <c r="C258" s="296" t="s">
        <v>3597</v>
      </c>
      <c r="D258" s="310"/>
      <c r="E258" s="310"/>
      <c r="F258" s="319"/>
      <c r="G258" s="319"/>
    </row>
    <row r="259" spans="1:8">
      <c r="A259" s="299">
        <v>5</v>
      </c>
      <c r="B259" s="672">
        <v>240550100000000</v>
      </c>
      <c r="C259" s="349" t="s">
        <v>3598</v>
      </c>
      <c r="D259" s="339"/>
      <c r="E259" s="339" t="str">
        <f>+B258</f>
        <v>PDA350</v>
      </c>
      <c r="F259" s="321"/>
      <c r="G259" s="321"/>
    </row>
    <row r="260" spans="1:8">
      <c r="A260" s="316" t="s">
        <v>1946</v>
      </c>
      <c r="B260" s="673" t="s">
        <v>3599</v>
      </c>
      <c r="C260" s="296" t="s">
        <v>3600</v>
      </c>
      <c r="D260" s="310"/>
      <c r="E260" s="310"/>
      <c r="F260" s="319"/>
      <c r="G260" s="319"/>
    </row>
    <row r="261" spans="1:8">
      <c r="A261" s="299">
        <v>5</v>
      </c>
      <c r="B261" s="672">
        <v>240550200100000</v>
      </c>
      <c r="C261" s="300" t="s">
        <v>3601</v>
      </c>
      <c r="D261" s="339"/>
      <c r="E261" s="339" t="str">
        <f>+B260</f>
        <v>PDA360</v>
      </c>
      <c r="F261" s="321">
        <v>110694.47</v>
      </c>
      <c r="G261" s="321">
        <v>98041.01</v>
      </c>
      <c r="H261" s="680"/>
    </row>
    <row r="262" spans="1:8">
      <c r="A262" s="299">
        <v>5</v>
      </c>
      <c r="B262" s="672">
        <v>240550200200000</v>
      </c>
      <c r="C262" s="300" t="s">
        <v>3602</v>
      </c>
      <c r="D262" s="339"/>
      <c r="E262" s="339" t="str">
        <f>+E261</f>
        <v>PDA360</v>
      </c>
      <c r="F262" s="321">
        <v>1724803.68</v>
      </c>
      <c r="G262" s="321">
        <v>1993644.51</v>
      </c>
      <c r="H262" s="680"/>
    </row>
    <row r="263" spans="1:8">
      <c r="A263" s="316" t="s">
        <v>1946</v>
      </c>
      <c r="B263" s="673" t="s">
        <v>3603</v>
      </c>
      <c r="C263" s="296" t="s">
        <v>3604</v>
      </c>
      <c r="D263" s="310"/>
      <c r="E263" s="310"/>
      <c r="F263" s="319"/>
      <c r="G263" s="319"/>
    </row>
    <row r="264" spans="1:8">
      <c r="A264" s="299">
        <v>5</v>
      </c>
      <c r="B264" s="672">
        <v>240550300100000</v>
      </c>
      <c r="C264" s="300" t="s">
        <v>3605</v>
      </c>
      <c r="D264" s="339"/>
      <c r="E264" s="339" t="str">
        <f>+B263</f>
        <v>PDA370</v>
      </c>
      <c r="F264" s="321"/>
      <c r="G264" s="321"/>
    </row>
    <row r="265" spans="1:8">
      <c r="A265" s="299">
        <v>5</v>
      </c>
      <c r="B265" s="672">
        <v>240550300200000</v>
      </c>
      <c r="C265" s="300" t="s">
        <v>3606</v>
      </c>
      <c r="D265" s="339"/>
      <c r="E265" s="339" t="str">
        <f>+E264</f>
        <v>PDA370</v>
      </c>
      <c r="F265" s="321"/>
      <c r="G265" s="321"/>
    </row>
    <row r="266" spans="1:8">
      <c r="A266" s="316" t="s">
        <v>1946</v>
      </c>
      <c r="B266" s="673" t="s">
        <v>3607</v>
      </c>
      <c r="C266" s="296" t="s">
        <v>3608</v>
      </c>
      <c r="D266" s="310"/>
      <c r="E266" s="310"/>
      <c r="F266" s="319"/>
      <c r="G266" s="319"/>
      <c r="H266" s="676"/>
    </row>
    <row r="267" spans="1:8">
      <c r="A267" s="299">
        <v>5</v>
      </c>
      <c r="B267" s="672">
        <v>240550400050000</v>
      </c>
      <c r="C267" s="300" t="s">
        <v>3609</v>
      </c>
      <c r="D267" s="339"/>
      <c r="E267" s="339" t="str">
        <f>+B266</f>
        <v>PDA380</v>
      </c>
      <c r="F267" s="321">
        <v>606915.66</v>
      </c>
      <c r="G267" s="321">
        <v>602530</v>
      </c>
    </row>
    <row r="268" spans="1:8">
      <c r="A268" s="299">
        <v>5</v>
      </c>
      <c r="B268" s="672">
        <v>240550400100000</v>
      </c>
      <c r="C268" s="300" t="s">
        <v>3610</v>
      </c>
      <c r="D268" s="339"/>
      <c r="E268" s="339" t="str">
        <f>+E267</f>
        <v>PDA380</v>
      </c>
      <c r="F268" s="321"/>
      <c r="G268" s="321"/>
    </row>
    <row r="269" spans="1:8">
      <c r="A269" s="299">
        <v>5</v>
      </c>
      <c r="B269" s="672">
        <v>240550400150000</v>
      </c>
      <c r="C269" s="300" t="s">
        <v>3611</v>
      </c>
      <c r="D269" s="339"/>
      <c r="E269" s="339" t="str">
        <f>+E268</f>
        <v>PDA380</v>
      </c>
      <c r="F269" s="321"/>
      <c r="G269" s="321"/>
    </row>
    <row r="270" spans="1:8">
      <c r="A270" s="299">
        <v>5</v>
      </c>
      <c r="B270" s="672">
        <v>240550400200000</v>
      </c>
      <c r="C270" s="300" t="s">
        <v>3612</v>
      </c>
      <c r="D270" s="339"/>
      <c r="E270" s="339" t="str">
        <f>+E269</f>
        <v>PDA380</v>
      </c>
      <c r="F270" s="321">
        <v>7717.05</v>
      </c>
      <c r="G270" s="321">
        <v>5420.02</v>
      </c>
    </row>
    <row r="271" spans="1:8">
      <c r="A271" s="303">
        <v>5</v>
      </c>
      <c r="B271" s="675">
        <v>2405504002500</v>
      </c>
      <c r="C271" s="304" t="s">
        <v>3613</v>
      </c>
      <c r="D271" s="313"/>
      <c r="E271" s="313"/>
      <c r="F271" s="325"/>
      <c r="G271" s="325"/>
    </row>
    <row r="272" spans="1:8">
      <c r="A272" s="299">
        <v>6</v>
      </c>
      <c r="B272" s="672">
        <v>240550400251000</v>
      </c>
      <c r="C272" s="300" t="s">
        <v>3614</v>
      </c>
      <c r="D272" s="339"/>
      <c r="E272" s="339" t="str">
        <f>+B266</f>
        <v>PDA380</v>
      </c>
      <c r="F272" s="321"/>
      <c r="G272" s="321"/>
    </row>
    <row r="273" spans="1:9">
      <c r="A273" s="299">
        <v>6</v>
      </c>
      <c r="B273" s="672">
        <v>240550400252000</v>
      </c>
      <c r="C273" s="300" t="s">
        <v>3615</v>
      </c>
      <c r="D273" s="339"/>
      <c r="E273" s="339" t="str">
        <f>+E272</f>
        <v>PDA380</v>
      </c>
      <c r="F273" s="321"/>
      <c r="G273" s="321"/>
    </row>
    <row r="274" spans="1:9">
      <c r="A274" s="299">
        <v>5</v>
      </c>
      <c r="B274" s="672">
        <v>240550400300000</v>
      </c>
      <c r="C274" s="300" t="s">
        <v>3616</v>
      </c>
      <c r="D274" s="339"/>
      <c r="E274" s="339" t="str">
        <f t="shared" ref="E274:E276" si="9">+E273</f>
        <v>PDA380</v>
      </c>
      <c r="F274" s="321">
        <v>162164.73000000001</v>
      </c>
      <c r="G274" s="321">
        <v>162151.56</v>
      </c>
    </row>
    <row r="275" spans="1:9">
      <c r="A275" s="299">
        <v>5</v>
      </c>
      <c r="B275" s="672">
        <v>240550400350000</v>
      </c>
      <c r="C275" s="300" t="s">
        <v>3617</v>
      </c>
      <c r="D275" s="339"/>
      <c r="E275" s="339" t="str">
        <f t="shared" si="9"/>
        <v>PDA380</v>
      </c>
      <c r="F275" s="321"/>
      <c r="G275" s="321"/>
    </row>
    <row r="276" spans="1:9">
      <c r="A276" s="299">
        <v>5</v>
      </c>
      <c r="B276" s="672">
        <v>240550400400000</v>
      </c>
      <c r="C276" s="300" t="s">
        <v>3618</v>
      </c>
      <c r="D276" s="339"/>
      <c r="E276" s="339" t="str">
        <f t="shared" si="9"/>
        <v>PDA380</v>
      </c>
      <c r="F276" s="321"/>
      <c r="G276" s="321"/>
    </row>
    <row r="277" spans="1:9">
      <c r="A277" s="303">
        <v>5</v>
      </c>
      <c r="B277" s="675">
        <v>2405504005000</v>
      </c>
      <c r="C277" s="304" t="s">
        <v>3619</v>
      </c>
      <c r="D277" s="313"/>
      <c r="E277" s="313"/>
      <c r="F277" s="325"/>
      <c r="G277" s="325"/>
    </row>
    <row r="278" spans="1:9">
      <c r="A278" s="299">
        <v>6</v>
      </c>
      <c r="B278" s="672">
        <v>240550400501000</v>
      </c>
      <c r="C278" s="300" t="s">
        <v>3620</v>
      </c>
      <c r="D278" s="339"/>
      <c r="E278" s="339" t="str">
        <f>+B266</f>
        <v>PDA380</v>
      </c>
      <c r="F278" s="321">
        <v>1615.78</v>
      </c>
      <c r="G278" s="321">
        <v>1887.95</v>
      </c>
    </row>
    <row r="279" spans="1:9">
      <c r="A279" s="299">
        <v>6</v>
      </c>
      <c r="B279" s="672">
        <v>240550400502000</v>
      </c>
      <c r="C279" s="300" t="s">
        <v>3621</v>
      </c>
      <c r="D279" s="339"/>
      <c r="E279" s="339" t="str">
        <f>+E278</f>
        <v>PDA380</v>
      </c>
      <c r="F279" s="321">
        <v>313694.75</v>
      </c>
      <c r="G279" s="321">
        <v>298360.21999999997</v>
      </c>
    </row>
    <row r="280" spans="1:9">
      <c r="A280" s="299">
        <v>5</v>
      </c>
      <c r="B280" s="672">
        <v>240550400550000</v>
      </c>
      <c r="C280" s="300" t="s">
        <v>3622</v>
      </c>
      <c r="D280" s="339"/>
      <c r="E280" s="339" t="str">
        <f t="shared" ref="E280:E281" si="10">+E279</f>
        <v>PDA380</v>
      </c>
      <c r="F280" s="321">
        <v>103201.59</v>
      </c>
      <c r="G280" s="321">
        <v>156140.07999999999</v>
      </c>
    </row>
    <row r="281" spans="1:9">
      <c r="A281" s="299">
        <v>5</v>
      </c>
      <c r="B281" s="672">
        <v>240550400600000</v>
      </c>
      <c r="C281" s="300" t="s">
        <v>3623</v>
      </c>
      <c r="D281" s="339"/>
      <c r="E281" s="339" t="str">
        <f t="shared" si="10"/>
        <v>PDA380</v>
      </c>
      <c r="F281" s="321">
        <v>251260.98</v>
      </c>
      <c r="G281" s="321">
        <v>174472.34</v>
      </c>
    </row>
    <row r="282" spans="1:9">
      <c r="A282" s="303">
        <v>5</v>
      </c>
      <c r="B282" s="675">
        <v>2405504007000</v>
      </c>
      <c r="C282" s="304" t="s">
        <v>3624</v>
      </c>
      <c r="D282" s="313"/>
      <c r="E282" s="313"/>
      <c r="F282" s="325"/>
      <c r="G282" s="325"/>
    </row>
    <row r="283" spans="1:9">
      <c r="A283" s="299">
        <v>6</v>
      </c>
      <c r="B283" s="672">
        <v>240550400701000</v>
      </c>
      <c r="C283" s="300" t="s">
        <v>3625</v>
      </c>
      <c r="D283" s="339"/>
      <c r="E283" s="339" t="str">
        <f>+B266</f>
        <v>PDA380</v>
      </c>
      <c r="F283" s="321"/>
      <c r="G283" s="321"/>
    </row>
    <row r="284" spans="1:9">
      <c r="A284" s="299">
        <v>6</v>
      </c>
      <c r="B284" s="672">
        <v>240550400702000</v>
      </c>
      <c r="C284" s="300" t="s">
        <v>3626</v>
      </c>
      <c r="D284" s="339"/>
      <c r="E284" s="339" t="str">
        <f>+E283</f>
        <v>PDA380</v>
      </c>
      <c r="F284" s="321">
        <v>1037608.48</v>
      </c>
      <c r="G284" s="321">
        <v>374.35</v>
      </c>
      <c r="H284" s="680"/>
      <c r="I284" s="680"/>
    </row>
    <row r="285" spans="1:9">
      <c r="A285" s="299">
        <v>5</v>
      </c>
      <c r="B285" s="672">
        <v>240550400800000</v>
      </c>
      <c r="C285" s="300" t="s">
        <v>3627</v>
      </c>
      <c r="D285" s="339"/>
      <c r="E285" s="339" t="str">
        <f t="shared" ref="E285:E286" si="11">+E284</f>
        <v>PDA380</v>
      </c>
      <c r="F285" s="321">
        <v>9812.49</v>
      </c>
      <c r="G285" s="321">
        <v>10357.49</v>
      </c>
    </row>
    <row r="286" spans="1:9">
      <c r="A286" s="299">
        <v>5</v>
      </c>
      <c r="B286" s="672">
        <v>240550400900000</v>
      </c>
      <c r="C286" s="300" t="s">
        <v>3628</v>
      </c>
      <c r="D286" s="339"/>
      <c r="E286" s="339" t="str">
        <f t="shared" si="11"/>
        <v>PDA380</v>
      </c>
      <c r="F286" s="321">
        <v>0</v>
      </c>
      <c r="G286" s="321"/>
    </row>
    <row r="287" spans="1:9">
      <c r="A287" s="316" t="s">
        <v>1941</v>
      </c>
      <c r="B287" s="673" t="s">
        <v>3629</v>
      </c>
      <c r="C287" s="296" t="s">
        <v>3630</v>
      </c>
      <c r="D287" s="310"/>
      <c r="E287" s="310"/>
      <c r="F287" s="319"/>
      <c r="G287" s="319"/>
    </row>
    <row r="288" spans="1:9">
      <c r="A288" s="316" t="s">
        <v>1944</v>
      </c>
      <c r="B288" s="673" t="s">
        <v>3631</v>
      </c>
      <c r="C288" s="296" t="s">
        <v>3632</v>
      </c>
      <c r="D288" s="310"/>
      <c r="E288" s="310"/>
      <c r="F288" s="319"/>
      <c r="G288" s="319"/>
    </row>
    <row r="289" spans="1:7">
      <c r="A289" s="316" t="s">
        <v>1946</v>
      </c>
      <c r="B289" s="673" t="s">
        <v>3633</v>
      </c>
      <c r="C289" s="296" t="s">
        <v>3634</v>
      </c>
      <c r="D289" s="310"/>
      <c r="E289" s="310"/>
      <c r="F289" s="319"/>
      <c r="G289" s="319"/>
    </row>
    <row r="290" spans="1:7">
      <c r="A290" s="299" t="s">
        <v>1948</v>
      </c>
      <c r="B290" s="672">
        <v>250100100000000</v>
      </c>
      <c r="C290" s="300" t="s">
        <v>3635</v>
      </c>
      <c r="D290" s="339"/>
      <c r="E290" s="339" t="str">
        <f>+B289</f>
        <v>PEA010</v>
      </c>
      <c r="F290" s="321"/>
      <c r="G290" s="321"/>
    </row>
    <row r="291" spans="1:7">
      <c r="A291" s="316" t="s">
        <v>1946</v>
      </c>
      <c r="B291" s="673" t="s">
        <v>3636</v>
      </c>
      <c r="C291" s="296" t="s">
        <v>3637</v>
      </c>
      <c r="D291" s="310" t="s">
        <v>1238</v>
      </c>
      <c r="E291" s="310"/>
      <c r="F291" s="319"/>
      <c r="G291" s="319"/>
    </row>
    <row r="292" spans="1:7">
      <c r="A292" s="299" t="s">
        <v>1948</v>
      </c>
      <c r="B292" s="672">
        <v>250100200000000</v>
      </c>
      <c r="C292" s="300" t="s">
        <v>3638</v>
      </c>
      <c r="D292" s="339" t="s">
        <v>1238</v>
      </c>
      <c r="E292" s="339" t="str">
        <f>+B291</f>
        <v>PEA020</v>
      </c>
      <c r="F292" s="321"/>
      <c r="G292" s="321"/>
    </row>
    <row r="293" spans="1:7">
      <c r="A293" s="316" t="s">
        <v>1944</v>
      </c>
      <c r="B293" s="673" t="s">
        <v>3639</v>
      </c>
      <c r="C293" s="296" t="s">
        <v>3640</v>
      </c>
      <c r="D293" s="310"/>
      <c r="E293" s="310"/>
      <c r="F293" s="319"/>
      <c r="G293" s="319"/>
    </row>
    <row r="294" spans="1:7">
      <c r="A294" s="316" t="s">
        <v>1946</v>
      </c>
      <c r="B294" s="673" t="s">
        <v>3641</v>
      </c>
      <c r="C294" s="296" t="s">
        <v>3642</v>
      </c>
      <c r="D294" s="310"/>
      <c r="E294" s="310"/>
      <c r="F294" s="319"/>
      <c r="G294" s="319"/>
    </row>
    <row r="295" spans="1:7">
      <c r="A295" s="299" t="s">
        <v>1948</v>
      </c>
      <c r="B295" s="672">
        <v>250200100000000</v>
      </c>
      <c r="C295" s="300" t="s">
        <v>3643</v>
      </c>
      <c r="D295" s="339"/>
      <c r="E295" s="339" t="str">
        <f>+B294</f>
        <v>PEA040</v>
      </c>
      <c r="F295" s="321"/>
      <c r="G295" s="321"/>
    </row>
    <row r="296" spans="1:7">
      <c r="A296" s="316" t="s">
        <v>1946</v>
      </c>
      <c r="B296" s="673" t="s">
        <v>3644</v>
      </c>
      <c r="C296" s="296" t="s">
        <v>3645</v>
      </c>
      <c r="D296" s="310" t="s">
        <v>1238</v>
      </c>
      <c r="E296" s="310"/>
      <c r="F296" s="319"/>
      <c r="G296" s="319"/>
    </row>
    <row r="297" spans="1:7">
      <c r="A297" s="299" t="s">
        <v>1948</v>
      </c>
      <c r="B297" s="672">
        <v>250200200000000</v>
      </c>
      <c r="C297" s="300" t="s">
        <v>3646</v>
      </c>
      <c r="D297" s="339" t="s">
        <v>1238</v>
      </c>
      <c r="E297" s="339" t="str">
        <f>+B296</f>
        <v>PEA050</v>
      </c>
      <c r="F297" s="321"/>
      <c r="G297" s="321"/>
    </row>
    <row r="298" spans="1:7" ht="25.5">
      <c r="A298" s="316" t="s">
        <v>1946</v>
      </c>
      <c r="B298" s="673" t="s">
        <v>3647</v>
      </c>
      <c r="C298" s="296" t="s">
        <v>3648</v>
      </c>
      <c r="D298" s="310"/>
      <c r="E298" s="310"/>
      <c r="F298" s="319"/>
      <c r="G298" s="319"/>
    </row>
    <row r="299" spans="1:7" ht="24">
      <c r="A299" s="299" t="s">
        <v>1948</v>
      </c>
      <c r="B299" s="672">
        <v>250200300000000</v>
      </c>
      <c r="C299" s="300" t="s">
        <v>3649</v>
      </c>
      <c r="D299" s="339"/>
      <c r="E299" s="339" t="str">
        <f>+B298</f>
        <v>PEA060</v>
      </c>
      <c r="F299" s="321"/>
      <c r="G299" s="321"/>
    </row>
    <row r="300" spans="1:7">
      <c r="A300" s="345" t="s">
        <v>1941</v>
      </c>
      <c r="B300" s="679" t="s">
        <v>3650</v>
      </c>
      <c r="C300" s="346" t="s">
        <v>3651</v>
      </c>
      <c r="D300" s="347"/>
      <c r="E300" s="347"/>
      <c r="F300" s="348">
        <f>SUM(F5:F299)</f>
        <v>249702444.95359981</v>
      </c>
      <c r="G300" s="348">
        <f>SUM(G5:G299)</f>
        <v>197485657.72000006</v>
      </c>
    </row>
    <row r="301" spans="1:7">
      <c r="A301" s="316" t="s">
        <v>1941</v>
      </c>
      <c r="B301" s="673" t="s">
        <v>3652</v>
      </c>
      <c r="C301" s="296" t="s">
        <v>3653</v>
      </c>
      <c r="D301" s="310"/>
      <c r="E301" s="310"/>
      <c r="F301" s="319"/>
      <c r="G301" s="319"/>
    </row>
    <row r="302" spans="1:7">
      <c r="A302" s="316" t="s">
        <v>1944</v>
      </c>
      <c r="B302" s="673" t="s">
        <v>3654</v>
      </c>
      <c r="C302" s="296" t="s">
        <v>3655</v>
      </c>
      <c r="D302" s="310"/>
      <c r="E302" s="310"/>
      <c r="F302" s="319"/>
      <c r="G302" s="319"/>
    </row>
    <row r="303" spans="1:7">
      <c r="A303" s="299" t="s">
        <v>1946</v>
      </c>
      <c r="B303" s="672">
        <v>295100000000000</v>
      </c>
      <c r="C303" s="300" t="s">
        <v>3656</v>
      </c>
      <c r="D303" s="339"/>
      <c r="E303" s="339" t="str">
        <f>+B302</f>
        <v>PFA000</v>
      </c>
      <c r="F303" s="321"/>
      <c r="G303" s="321"/>
    </row>
    <row r="304" spans="1:7">
      <c r="A304" s="316" t="s">
        <v>1944</v>
      </c>
      <c r="B304" s="673" t="s">
        <v>3657</v>
      </c>
      <c r="C304" s="296" t="s">
        <v>3658</v>
      </c>
      <c r="D304" s="310"/>
      <c r="E304" s="310"/>
      <c r="F304" s="319"/>
      <c r="G304" s="319"/>
    </row>
    <row r="305" spans="1:7">
      <c r="A305" s="299" t="s">
        <v>1946</v>
      </c>
      <c r="B305" s="672">
        <v>295200000000000</v>
      </c>
      <c r="C305" s="300" t="s">
        <v>3659</v>
      </c>
      <c r="D305" s="339"/>
      <c r="E305" s="339" t="str">
        <f>+B304</f>
        <v>PFA010</v>
      </c>
      <c r="F305" s="321"/>
      <c r="G305" s="321"/>
    </row>
    <row r="306" spans="1:7">
      <c r="A306" s="316" t="s">
        <v>1944</v>
      </c>
      <c r="B306" s="673" t="s">
        <v>3660</v>
      </c>
      <c r="C306" s="296" t="s">
        <v>3661</v>
      </c>
      <c r="D306" s="310"/>
      <c r="E306" s="310"/>
      <c r="F306" s="319"/>
      <c r="G306" s="319"/>
    </row>
    <row r="307" spans="1:7">
      <c r="A307" s="299" t="s">
        <v>1946</v>
      </c>
      <c r="B307" s="672">
        <v>295300000000000</v>
      </c>
      <c r="C307" s="300" t="s">
        <v>3662</v>
      </c>
      <c r="D307" s="339"/>
      <c r="E307" s="339" t="str">
        <f>+B306</f>
        <v>PFA020</v>
      </c>
      <c r="F307" s="321">
        <v>347396.87</v>
      </c>
      <c r="G307" s="321">
        <v>347396.87</v>
      </c>
    </row>
    <row r="308" spans="1:7">
      <c r="A308" s="316" t="s">
        <v>1944</v>
      </c>
      <c r="B308" s="673" t="s">
        <v>3663</v>
      </c>
      <c r="C308" s="296" t="s">
        <v>3664</v>
      </c>
      <c r="D308" s="310"/>
      <c r="E308" s="310"/>
      <c r="F308" s="319"/>
      <c r="G308" s="319"/>
    </row>
    <row r="309" spans="1:7">
      <c r="A309" s="299" t="s">
        <v>1946</v>
      </c>
      <c r="B309" s="672">
        <v>295350000000000</v>
      </c>
      <c r="C309" s="300" t="s">
        <v>3665</v>
      </c>
      <c r="D309" s="339"/>
      <c r="E309" s="339" t="str">
        <f>+B308</f>
        <v>PFA021</v>
      </c>
      <c r="F309" s="321"/>
      <c r="G309" s="321"/>
    </row>
    <row r="310" spans="1:7">
      <c r="A310" s="316" t="s">
        <v>1944</v>
      </c>
      <c r="B310" s="673" t="s">
        <v>3666</v>
      </c>
      <c r="C310" s="296" t="s">
        <v>3667</v>
      </c>
      <c r="D310" s="310"/>
      <c r="E310" s="310"/>
      <c r="F310" s="319"/>
      <c r="G310" s="319"/>
    </row>
    <row r="311" spans="1:7">
      <c r="A311" s="299">
        <v>4</v>
      </c>
      <c r="B311" s="672">
        <v>295400100000000</v>
      </c>
      <c r="C311" s="300" t="s">
        <v>3668</v>
      </c>
      <c r="D311" s="339"/>
      <c r="E311" s="339" t="str">
        <f>+B310</f>
        <v>PFA030</v>
      </c>
      <c r="F311" s="321"/>
      <c r="G311" s="321"/>
    </row>
    <row r="312" spans="1:7">
      <c r="A312" s="299">
        <v>4</v>
      </c>
      <c r="B312" s="672">
        <v>295400200000000</v>
      </c>
      <c r="C312" s="300" t="s">
        <v>3669</v>
      </c>
      <c r="D312" s="339"/>
      <c r="E312" s="339" t="str">
        <f>+E311</f>
        <v>PFA030</v>
      </c>
      <c r="F312" s="321"/>
      <c r="G312" s="321"/>
    </row>
    <row r="313" spans="1:7">
      <c r="A313" s="299">
        <v>4</v>
      </c>
      <c r="B313" s="672">
        <v>295400300000000</v>
      </c>
      <c r="C313" s="300" t="s">
        <v>3670</v>
      </c>
      <c r="D313" s="339"/>
      <c r="E313" s="339" t="str">
        <f t="shared" ref="E313:E315" si="12">+E312</f>
        <v>PFA030</v>
      </c>
      <c r="F313" s="321"/>
      <c r="G313" s="321"/>
    </row>
    <row r="314" spans="1:7">
      <c r="A314" s="299">
        <v>4</v>
      </c>
      <c r="B314" s="672">
        <v>295400400000000</v>
      </c>
      <c r="C314" s="300" t="s">
        <v>3671</v>
      </c>
      <c r="D314" s="339"/>
      <c r="E314" s="339" t="str">
        <f t="shared" si="12"/>
        <v>PFA030</v>
      </c>
      <c r="F314" s="321"/>
      <c r="G314" s="321"/>
    </row>
    <row r="315" spans="1:7">
      <c r="A315" s="299">
        <v>4</v>
      </c>
      <c r="B315" s="672">
        <v>295400900000000</v>
      </c>
      <c r="C315" s="300" t="s">
        <v>3672</v>
      </c>
      <c r="D315" s="339"/>
      <c r="E315" s="339" t="str">
        <f t="shared" si="12"/>
        <v>PFA030</v>
      </c>
      <c r="F315" s="321"/>
      <c r="G315" s="321"/>
    </row>
    <row r="317" spans="1:7">
      <c r="F317" s="208">
        <f>+F300-'7. SP Attivo Alim'!F434</f>
        <v>3.5998821258544922E-3</v>
      </c>
    </row>
  </sheetData>
  <autoFilter ref="A1:G315"/>
  <conditionalFormatting sqref="C2:C258 C260:C315">
    <cfRule type="duplicateValues" dxfId="186" priority="1"/>
  </conditionalFormatting>
  <pageMargins left="0.70866141732283472" right="0.70866141732283472" top="0.74803149606299213" bottom="0.74803149606299213" header="0.31496062992125984" footer="0.31496062992125984"/>
  <pageSetup paperSize="9" scale="59" firstPageNumber="86" fitToHeight="10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571"/>
  <sheetViews>
    <sheetView workbookViewId="0">
      <pane ySplit="1" topLeftCell="A386" activePane="bottomLeft" state="frozen"/>
      <selection activeCell="D121" sqref="D121"/>
      <selection pane="bottomLeft" activeCell="E47" activeCellId="1" sqref="E26:E41 E47"/>
    </sheetView>
  </sheetViews>
  <sheetFormatPr defaultRowHeight="12.75"/>
  <cols>
    <col min="1" max="1" width="4.85546875" style="211" customWidth="1"/>
    <col min="2" max="2" width="34.42578125" style="211" customWidth="1"/>
    <col min="3" max="3" width="48.28515625" customWidth="1"/>
    <col min="4" max="4" width="17.5703125" customWidth="1"/>
    <col min="5" max="6" width="17.28515625" style="208" customWidth="1"/>
    <col min="14" max="14" width="12.85546875" bestFit="1" customWidth="1"/>
  </cols>
  <sheetData>
    <row r="1" spans="1:6" ht="54" customHeight="1" thickBot="1">
      <c r="A1" s="207" t="s">
        <v>120</v>
      </c>
      <c r="B1" s="293" t="s">
        <v>2029</v>
      </c>
      <c r="C1" s="293" t="s">
        <v>121</v>
      </c>
      <c r="D1" s="293" t="s">
        <v>1921</v>
      </c>
      <c r="E1" s="294" t="s">
        <v>2590</v>
      </c>
      <c r="F1" s="294" t="s">
        <v>2591</v>
      </c>
    </row>
    <row r="2" spans="1:6">
      <c r="A2" s="295" t="s">
        <v>1941</v>
      </c>
      <c r="B2" s="296" t="s">
        <v>1942</v>
      </c>
      <c r="C2" s="295" t="s">
        <v>1943</v>
      </c>
      <c r="D2" s="297"/>
      <c r="E2" s="306"/>
      <c r="F2" s="306"/>
    </row>
    <row r="3" spans="1:6">
      <c r="A3" s="295" t="s">
        <v>1944</v>
      </c>
      <c r="B3" s="296" t="s">
        <v>1221</v>
      </c>
      <c r="C3" s="295" t="s">
        <v>1945</v>
      </c>
      <c r="D3" s="297"/>
      <c r="E3" s="306"/>
      <c r="F3" s="306"/>
    </row>
    <row r="4" spans="1:6" ht="25.5">
      <c r="A4" s="295" t="s">
        <v>1946</v>
      </c>
      <c r="B4" s="296" t="s">
        <v>1223</v>
      </c>
      <c r="C4" s="295" t="s">
        <v>1947</v>
      </c>
      <c r="D4" s="297"/>
      <c r="E4" s="306"/>
      <c r="F4" s="306"/>
    </row>
    <row r="5" spans="1:6" ht="25.5">
      <c r="A5" s="295" t="s">
        <v>1948</v>
      </c>
      <c r="B5" s="296" t="s">
        <v>122</v>
      </c>
      <c r="C5" s="295" t="s">
        <v>1949</v>
      </c>
      <c r="D5" s="297"/>
      <c r="E5" s="306"/>
      <c r="F5" s="306"/>
    </row>
    <row r="6" spans="1:6">
      <c r="A6" s="295" t="s">
        <v>1950</v>
      </c>
      <c r="B6" s="296" t="s">
        <v>123</v>
      </c>
      <c r="C6" s="295" t="s">
        <v>1226</v>
      </c>
      <c r="D6" s="297"/>
      <c r="E6" s="306"/>
      <c r="F6" s="306"/>
    </row>
    <row r="7" spans="1:6">
      <c r="A7" s="298">
        <v>7</v>
      </c>
      <c r="B7" s="672">
        <v>600100100100000</v>
      </c>
      <c r="C7" s="300" t="s">
        <v>1806</v>
      </c>
      <c r="D7" s="301"/>
      <c r="E7" s="307">
        <v>18496634.670000002</v>
      </c>
      <c r="F7" s="307">
        <v>18001978</v>
      </c>
    </row>
    <row r="8" spans="1:6" ht="25.5">
      <c r="A8" s="295" t="s">
        <v>1950</v>
      </c>
      <c r="B8" s="673" t="s">
        <v>125</v>
      </c>
      <c r="C8" s="295" t="s">
        <v>1227</v>
      </c>
      <c r="D8" s="297"/>
      <c r="E8" s="306"/>
      <c r="F8" s="306"/>
    </row>
    <row r="9" spans="1:6">
      <c r="A9" s="298">
        <v>7</v>
      </c>
      <c r="B9" s="672">
        <v>600100100200000</v>
      </c>
      <c r="C9" s="300" t="s">
        <v>124</v>
      </c>
      <c r="D9" s="301"/>
      <c r="E9" s="307">
        <v>33243034.84</v>
      </c>
      <c r="F9" s="307">
        <v>20552652.25</v>
      </c>
    </row>
    <row r="10" spans="1:6">
      <c r="A10" s="295" t="s">
        <v>1950</v>
      </c>
      <c r="B10" s="673" t="s">
        <v>126</v>
      </c>
      <c r="C10" s="295" t="s">
        <v>1228</v>
      </c>
      <c r="D10" s="297"/>
      <c r="E10" s="306"/>
      <c r="F10" s="306"/>
    </row>
    <row r="11" spans="1:6">
      <c r="A11" s="295" t="s">
        <v>1951</v>
      </c>
      <c r="B11" s="673" t="s">
        <v>128</v>
      </c>
      <c r="C11" s="295" t="s">
        <v>1952</v>
      </c>
      <c r="D11" s="297"/>
      <c r="E11" s="306"/>
      <c r="F11" s="306"/>
    </row>
    <row r="12" spans="1:6">
      <c r="A12" s="298">
        <v>8</v>
      </c>
      <c r="B12" s="672">
        <v>600100100301000</v>
      </c>
      <c r="C12" s="300" t="s">
        <v>127</v>
      </c>
      <c r="D12" s="301"/>
      <c r="E12" s="307"/>
      <c r="F12" s="307"/>
    </row>
    <row r="13" spans="1:6">
      <c r="A13" s="295" t="s">
        <v>1951</v>
      </c>
      <c r="B13" s="673" t="s">
        <v>130</v>
      </c>
      <c r="C13" s="295" t="s">
        <v>1230</v>
      </c>
      <c r="D13" s="297"/>
      <c r="E13" s="306"/>
      <c r="F13" s="306"/>
    </row>
    <row r="14" spans="1:6">
      <c r="A14" s="298">
        <v>8</v>
      </c>
      <c r="B14" s="672">
        <v>600100100302000</v>
      </c>
      <c r="C14" s="300" t="s">
        <v>129</v>
      </c>
      <c r="D14" s="301"/>
      <c r="E14" s="307">
        <v>2781000</v>
      </c>
      <c r="F14" s="307">
        <v>2781000</v>
      </c>
    </row>
    <row r="15" spans="1:6" ht="25.5">
      <c r="A15" s="295" t="s">
        <v>1950</v>
      </c>
      <c r="B15" s="673" t="s">
        <v>132</v>
      </c>
      <c r="C15" s="295" t="s">
        <v>1231</v>
      </c>
      <c r="D15" s="297"/>
      <c r="E15" s="306"/>
      <c r="F15" s="306"/>
    </row>
    <row r="16" spans="1:6" ht="24">
      <c r="A16" s="298">
        <v>7</v>
      </c>
      <c r="B16" s="672">
        <v>600100100400000</v>
      </c>
      <c r="C16" s="300" t="s">
        <v>131</v>
      </c>
      <c r="D16" s="301"/>
      <c r="E16" s="307"/>
      <c r="F16" s="307"/>
    </row>
    <row r="17" spans="1:6" ht="25.5">
      <c r="A17" s="295" t="s">
        <v>1948</v>
      </c>
      <c r="B17" s="673" t="s">
        <v>133</v>
      </c>
      <c r="C17" s="295" t="s">
        <v>1953</v>
      </c>
      <c r="D17" s="297"/>
      <c r="E17" s="306"/>
      <c r="F17" s="306"/>
    </row>
    <row r="18" spans="1:6">
      <c r="A18" s="298">
        <v>6</v>
      </c>
      <c r="B18" s="672">
        <v>600100200000000</v>
      </c>
      <c r="C18" s="300" t="s">
        <v>134</v>
      </c>
      <c r="D18" s="301"/>
      <c r="E18" s="307"/>
      <c r="F18" s="307"/>
    </row>
    <row r="19" spans="1:6">
      <c r="A19" s="295" t="s">
        <v>1946</v>
      </c>
      <c r="B19" s="673" t="s">
        <v>135</v>
      </c>
      <c r="C19" s="295" t="s">
        <v>1954</v>
      </c>
      <c r="D19" s="297"/>
      <c r="E19" s="306"/>
      <c r="F19" s="306"/>
    </row>
    <row r="20" spans="1:6">
      <c r="A20" s="295" t="s">
        <v>1948</v>
      </c>
      <c r="B20" s="673" t="s">
        <v>136</v>
      </c>
      <c r="C20" s="295" t="s">
        <v>1955</v>
      </c>
      <c r="D20" s="297"/>
      <c r="E20" s="306"/>
      <c r="F20" s="306"/>
    </row>
    <row r="21" spans="1:6" ht="25.5">
      <c r="A21" s="295" t="s">
        <v>1950</v>
      </c>
      <c r="B21" s="673" t="s">
        <v>137</v>
      </c>
      <c r="C21" s="295" t="s">
        <v>1956</v>
      </c>
      <c r="D21" s="297"/>
      <c r="E21" s="306"/>
      <c r="F21" s="306"/>
    </row>
    <row r="22" spans="1:6">
      <c r="A22" s="298">
        <v>7</v>
      </c>
      <c r="B22" s="672">
        <v>600200100101000</v>
      </c>
      <c r="C22" s="300" t="s">
        <v>138</v>
      </c>
      <c r="D22" s="301"/>
      <c r="E22" s="307"/>
      <c r="F22" s="307"/>
    </row>
    <row r="23" spans="1:6">
      <c r="A23" s="298">
        <v>7</v>
      </c>
      <c r="B23" s="672">
        <v>600200100102000</v>
      </c>
      <c r="C23" s="300" t="s">
        <v>139</v>
      </c>
      <c r="D23" s="301"/>
      <c r="E23" s="307"/>
      <c r="F23" s="307"/>
    </row>
    <row r="24" spans="1:6" ht="24">
      <c r="A24" s="298">
        <v>7</v>
      </c>
      <c r="B24" s="672">
        <v>600200100103000</v>
      </c>
      <c r="C24" s="300" t="s">
        <v>140</v>
      </c>
      <c r="D24" s="301"/>
      <c r="E24" s="307"/>
      <c r="F24" s="307"/>
    </row>
    <row r="25" spans="1:6" ht="24">
      <c r="A25" s="298">
        <v>7</v>
      </c>
      <c r="B25" s="672">
        <v>600200100104000</v>
      </c>
      <c r="C25" s="300" t="s">
        <v>141</v>
      </c>
      <c r="D25" s="301"/>
      <c r="E25" s="307"/>
      <c r="F25" s="307">
        <v>192319.15</v>
      </c>
    </row>
    <row r="26" spans="1:6" ht="24">
      <c r="A26" s="298">
        <v>7</v>
      </c>
      <c r="B26" s="672">
        <v>600200100108000</v>
      </c>
      <c r="C26" s="300" t="s">
        <v>142</v>
      </c>
      <c r="D26" s="301"/>
      <c r="E26" s="307">
        <v>6726687.8399999999</v>
      </c>
      <c r="F26" s="307">
        <v>3107781.8</v>
      </c>
    </row>
    <row r="27" spans="1:6" ht="24">
      <c r="A27" s="298">
        <v>7</v>
      </c>
      <c r="B27" s="672">
        <v>600200100109000</v>
      </c>
      <c r="C27" s="300" t="s">
        <v>143</v>
      </c>
      <c r="D27" s="301"/>
      <c r="E27" s="307"/>
      <c r="F27" s="307"/>
    </row>
    <row r="28" spans="1:6" ht="38.25">
      <c r="A28" s="295" t="s">
        <v>1950</v>
      </c>
      <c r="B28" s="673" t="s">
        <v>144</v>
      </c>
      <c r="C28" s="295" t="s">
        <v>1957</v>
      </c>
      <c r="D28" s="297"/>
      <c r="E28" s="306"/>
      <c r="F28" s="306"/>
    </row>
    <row r="29" spans="1:6" ht="24">
      <c r="A29" s="298">
        <v>7</v>
      </c>
      <c r="B29" s="672">
        <v>600200100200000</v>
      </c>
      <c r="C29" s="300" t="s">
        <v>1939</v>
      </c>
      <c r="D29" s="301"/>
      <c r="E29" s="307"/>
      <c r="F29" s="307"/>
    </row>
    <row r="30" spans="1:6" ht="38.25">
      <c r="A30" s="295" t="s">
        <v>1950</v>
      </c>
      <c r="B30" s="673" t="s">
        <v>145</v>
      </c>
      <c r="C30" s="295" t="s">
        <v>1958</v>
      </c>
      <c r="D30" s="297"/>
      <c r="E30" s="306"/>
      <c r="F30" s="306"/>
    </row>
    <row r="31" spans="1:6" ht="36">
      <c r="A31" s="298">
        <v>7</v>
      </c>
      <c r="B31" s="672">
        <v>600200100300000</v>
      </c>
      <c r="C31" s="300" t="s">
        <v>1940</v>
      </c>
      <c r="D31" s="301"/>
      <c r="E31" s="307"/>
      <c r="F31" s="307"/>
    </row>
    <row r="32" spans="1:6" ht="25.5">
      <c r="A32" s="295" t="s">
        <v>1950</v>
      </c>
      <c r="B32" s="673" t="s">
        <v>147</v>
      </c>
      <c r="C32" s="295" t="s">
        <v>1959</v>
      </c>
      <c r="D32" s="297"/>
      <c r="E32" s="306"/>
      <c r="F32" s="306"/>
    </row>
    <row r="33" spans="1:14">
      <c r="A33" s="298">
        <v>7</v>
      </c>
      <c r="B33" s="672">
        <v>600200100400000</v>
      </c>
      <c r="C33" s="300" t="s">
        <v>146</v>
      </c>
      <c r="D33" s="301"/>
      <c r="E33" s="307"/>
      <c r="F33" s="307"/>
    </row>
    <row r="34" spans="1:14" ht="25.5">
      <c r="A34" s="295" t="s">
        <v>1948</v>
      </c>
      <c r="B34" s="673" t="s">
        <v>148</v>
      </c>
      <c r="C34" s="295" t="s">
        <v>1960</v>
      </c>
      <c r="D34" s="297"/>
      <c r="E34" s="306"/>
      <c r="F34" s="306"/>
    </row>
    <row r="35" spans="1:14" ht="25.5">
      <c r="A35" s="295" t="s">
        <v>1950</v>
      </c>
      <c r="B35" s="673" t="s">
        <v>150</v>
      </c>
      <c r="C35" s="295" t="s">
        <v>1961</v>
      </c>
      <c r="D35" s="297" t="s">
        <v>1238</v>
      </c>
      <c r="E35" s="306"/>
      <c r="F35" s="306"/>
    </row>
    <row r="36" spans="1:14" ht="24">
      <c r="A36" s="298" t="s">
        <v>1951</v>
      </c>
      <c r="B36" s="672">
        <v>600200200100000</v>
      </c>
      <c r="C36" s="300" t="s">
        <v>149</v>
      </c>
      <c r="D36" s="301" t="s">
        <v>1238</v>
      </c>
      <c r="E36" s="307"/>
      <c r="F36" s="307"/>
    </row>
    <row r="37" spans="1:14" ht="25.5">
      <c r="A37" s="295" t="s">
        <v>1950</v>
      </c>
      <c r="B37" s="673" t="s">
        <v>152</v>
      </c>
      <c r="C37" s="295" t="s">
        <v>1962</v>
      </c>
      <c r="D37" s="297" t="s">
        <v>1238</v>
      </c>
      <c r="E37" s="306"/>
      <c r="F37" s="306"/>
    </row>
    <row r="38" spans="1:14" ht="24">
      <c r="A38" s="298">
        <v>7</v>
      </c>
      <c r="B38" s="672">
        <v>600200200200000</v>
      </c>
      <c r="C38" s="300" t="s">
        <v>151</v>
      </c>
      <c r="D38" s="301" t="s">
        <v>1238</v>
      </c>
      <c r="E38" s="307"/>
      <c r="F38" s="307"/>
    </row>
    <row r="39" spans="1:14" ht="25.5">
      <c r="A39" s="295" t="s">
        <v>1948</v>
      </c>
      <c r="B39" s="673" t="s">
        <v>153</v>
      </c>
      <c r="C39" s="295" t="s">
        <v>1963</v>
      </c>
      <c r="D39" s="297"/>
      <c r="E39" s="306"/>
      <c r="F39" s="306"/>
    </row>
    <row r="40" spans="1:14" ht="25.5">
      <c r="A40" s="295" t="s">
        <v>1950</v>
      </c>
      <c r="B40" s="673" t="s">
        <v>155</v>
      </c>
      <c r="C40" s="295" t="s">
        <v>1242</v>
      </c>
      <c r="D40" s="297"/>
      <c r="E40" s="306"/>
      <c r="F40" s="306"/>
    </row>
    <row r="41" spans="1:14">
      <c r="A41" s="298">
        <v>7</v>
      </c>
      <c r="B41" s="674">
        <v>600200300050000</v>
      </c>
      <c r="C41" s="300" t="s">
        <v>154</v>
      </c>
      <c r="D41" s="301"/>
      <c r="E41" s="307">
        <f>459832.11+2250.25+428034.84+48800+16398.75</f>
        <v>955315.95</v>
      </c>
      <c r="F41" s="307">
        <v>59001.279999999999</v>
      </c>
      <c r="N41" s="208">
        <v>15293.81</v>
      </c>
    </row>
    <row r="42" spans="1:14" ht="25.5">
      <c r="A42" s="295" t="s">
        <v>1950</v>
      </c>
      <c r="B42" s="673" t="s">
        <v>156</v>
      </c>
      <c r="C42" s="295" t="s">
        <v>1243</v>
      </c>
      <c r="D42" s="297"/>
      <c r="E42" s="306"/>
      <c r="F42" s="306"/>
      <c r="N42" s="208">
        <v>242224.09</v>
      </c>
    </row>
    <row r="43" spans="1:14">
      <c r="A43" s="298">
        <v>7</v>
      </c>
      <c r="B43" s="672">
        <v>600200300101000</v>
      </c>
      <c r="C43" s="300" t="s">
        <v>157</v>
      </c>
      <c r="D43" s="301"/>
      <c r="E43" s="307"/>
      <c r="F43" s="307"/>
      <c r="N43" s="680">
        <f>+N42+N41</f>
        <v>257517.9</v>
      </c>
    </row>
    <row r="44" spans="1:14">
      <c r="A44" s="298">
        <v>7</v>
      </c>
      <c r="B44" s="672">
        <v>600200300102000</v>
      </c>
      <c r="C44" s="300" t="s">
        <v>158</v>
      </c>
      <c r="D44" s="301"/>
      <c r="E44" s="307"/>
      <c r="F44" s="307"/>
    </row>
    <row r="45" spans="1:14" ht="24">
      <c r="A45" s="298">
        <v>7</v>
      </c>
      <c r="B45" s="672">
        <v>600200300103000</v>
      </c>
      <c r="C45" s="300" t="s">
        <v>159</v>
      </c>
      <c r="D45" s="301"/>
      <c r="E45" s="307"/>
      <c r="F45" s="307"/>
      <c r="N45" s="208">
        <v>48800</v>
      </c>
    </row>
    <row r="46" spans="1:14">
      <c r="A46" s="298">
        <v>7</v>
      </c>
      <c r="B46" s="672">
        <v>600200300104000</v>
      </c>
      <c r="C46" s="300" t="s">
        <v>160</v>
      </c>
      <c r="D46" s="301"/>
      <c r="E46" s="307"/>
      <c r="F46" s="307"/>
      <c r="N46">
        <v>192319.15</v>
      </c>
    </row>
    <row r="47" spans="1:14" ht="24">
      <c r="A47" s="298">
        <v>7</v>
      </c>
      <c r="B47" s="672">
        <v>600200300108000</v>
      </c>
      <c r="C47" s="300" t="s">
        <v>161</v>
      </c>
      <c r="D47" s="301"/>
      <c r="E47" s="307">
        <v>1383403.2</v>
      </c>
      <c r="F47" s="307"/>
      <c r="N47" s="676">
        <f>+N45+N46</f>
        <v>241119.15</v>
      </c>
    </row>
    <row r="48" spans="1:14" ht="24">
      <c r="A48" s="298">
        <v>7</v>
      </c>
      <c r="B48" s="672">
        <v>600200300109000</v>
      </c>
      <c r="C48" s="300" t="s">
        <v>162</v>
      </c>
      <c r="D48" s="301"/>
      <c r="E48" s="307"/>
      <c r="F48" s="307"/>
      <c r="N48" s="680">
        <f>+N43-N47</f>
        <v>16398.75</v>
      </c>
    </row>
    <row r="49" spans="1:6" ht="25.5">
      <c r="A49" s="295" t="s">
        <v>1950</v>
      </c>
      <c r="B49" s="673" t="s">
        <v>164</v>
      </c>
      <c r="C49" s="295" t="s">
        <v>1244</v>
      </c>
      <c r="D49" s="297"/>
      <c r="E49" s="306"/>
      <c r="F49" s="306"/>
    </row>
    <row r="50" spans="1:6" ht="24">
      <c r="A50" s="298" t="s">
        <v>1951</v>
      </c>
      <c r="B50" s="672">
        <v>600200300200000</v>
      </c>
      <c r="C50" s="300" t="s">
        <v>163</v>
      </c>
      <c r="D50" s="301"/>
      <c r="E50" s="307"/>
      <c r="F50" s="307"/>
    </row>
    <row r="51" spans="1:6" ht="25.5">
      <c r="A51" s="295" t="s">
        <v>1950</v>
      </c>
      <c r="B51" s="673" t="s">
        <v>166</v>
      </c>
      <c r="C51" s="295" t="s">
        <v>1245</v>
      </c>
      <c r="D51" s="297"/>
      <c r="E51" s="306"/>
      <c r="F51" s="306"/>
    </row>
    <row r="52" spans="1:6">
      <c r="A52" s="298">
        <v>7</v>
      </c>
      <c r="B52" s="672">
        <v>600200300300000</v>
      </c>
      <c r="C52" s="300" t="s">
        <v>165</v>
      </c>
      <c r="D52" s="301"/>
      <c r="E52" s="307"/>
      <c r="F52" s="307"/>
    </row>
    <row r="53" spans="1:6" ht="51">
      <c r="A53" s="295" t="s">
        <v>1950</v>
      </c>
      <c r="B53" s="673" t="s">
        <v>168</v>
      </c>
      <c r="C53" s="295" t="s">
        <v>1964</v>
      </c>
      <c r="D53" s="297"/>
      <c r="E53" s="306"/>
      <c r="F53" s="306"/>
    </row>
    <row r="54" spans="1:6" ht="48">
      <c r="A54" s="298">
        <v>7</v>
      </c>
      <c r="B54" s="672">
        <v>600200300400000</v>
      </c>
      <c r="C54" s="300" t="s">
        <v>167</v>
      </c>
      <c r="D54" s="301"/>
      <c r="E54" s="307"/>
      <c r="F54" s="307"/>
    </row>
    <row r="55" spans="1:6">
      <c r="A55" s="295" t="s">
        <v>1946</v>
      </c>
      <c r="B55" s="673" t="s">
        <v>169</v>
      </c>
      <c r="C55" s="295" t="s">
        <v>1965</v>
      </c>
      <c r="D55" s="297"/>
      <c r="E55" s="306"/>
      <c r="F55" s="306"/>
    </row>
    <row r="56" spans="1:6" ht="25.5">
      <c r="A56" s="295" t="s">
        <v>1948</v>
      </c>
      <c r="B56" s="673" t="s">
        <v>171</v>
      </c>
      <c r="C56" s="295" t="s">
        <v>1966</v>
      </c>
      <c r="D56" s="297"/>
      <c r="E56" s="306"/>
      <c r="F56" s="306"/>
    </row>
    <row r="57" spans="1:6">
      <c r="A57" s="298">
        <v>6</v>
      </c>
      <c r="B57" s="672">
        <v>600300100000000</v>
      </c>
      <c r="C57" s="300" t="s">
        <v>170</v>
      </c>
      <c r="D57" s="301"/>
      <c r="E57" s="307"/>
      <c r="F57" s="307"/>
    </row>
    <row r="58" spans="1:6" ht="25.5">
      <c r="A58" s="295" t="s">
        <v>1948</v>
      </c>
      <c r="B58" s="673" t="s">
        <v>173</v>
      </c>
      <c r="C58" s="295" t="s">
        <v>1967</v>
      </c>
      <c r="D58" s="297"/>
      <c r="E58" s="306"/>
      <c r="F58" s="306"/>
    </row>
    <row r="59" spans="1:6" ht="24">
      <c r="A59" s="298">
        <v>6</v>
      </c>
      <c r="B59" s="672">
        <v>600300200000000</v>
      </c>
      <c r="C59" s="300" t="s">
        <v>172</v>
      </c>
      <c r="D59" s="301"/>
      <c r="E59" s="307"/>
      <c r="F59" s="307"/>
    </row>
    <row r="60" spans="1:6" ht="25.5">
      <c r="A60" s="295" t="s">
        <v>1948</v>
      </c>
      <c r="B60" s="673" t="s">
        <v>174</v>
      </c>
      <c r="C60" s="295" t="s">
        <v>1968</v>
      </c>
      <c r="D60" s="297"/>
      <c r="E60" s="306"/>
      <c r="F60" s="306"/>
    </row>
    <row r="61" spans="1:6">
      <c r="A61" s="298">
        <v>6</v>
      </c>
      <c r="B61" s="672">
        <v>600300300100000</v>
      </c>
      <c r="C61" s="300" t="s">
        <v>175</v>
      </c>
      <c r="D61" s="301"/>
      <c r="E61" s="307"/>
      <c r="F61" s="307"/>
    </row>
    <row r="62" spans="1:6">
      <c r="A62" s="298">
        <v>6</v>
      </c>
      <c r="B62" s="672">
        <v>600300300900000</v>
      </c>
      <c r="C62" s="300" t="s">
        <v>176</v>
      </c>
      <c r="D62" s="301"/>
      <c r="E62" s="307"/>
      <c r="F62" s="307"/>
    </row>
    <row r="63" spans="1:6">
      <c r="A63" s="295" t="s">
        <v>1948</v>
      </c>
      <c r="B63" s="673" t="s">
        <v>178</v>
      </c>
      <c r="C63" s="295" t="s">
        <v>1969</v>
      </c>
      <c r="D63" s="297"/>
      <c r="E63" s="306"/>
      <c r="F63" s="306"/>
    </row>
    <row r="64" spans="1:6">
      <c r="A64" s="298" t="s">
        <v>1950</v>
      </c>
      <c r="B64" s="672">
        <v>600300400000000</v>
      </c>
      <c r="C64" s="300" t="s">
        <v>177</v>
      </c>
      <c r="D64" s="301"/>
      <c r="E64" s="307"/>
      <c r="F64" s="307"/>
    </row>
    <row r="65" spans="1:6">
      <c r="A65" s="295" t="s">
        <v>1946</v>
      </c>
      <c r="B65" s="673" t="s">
        <v>180</v>
      </c>
      <c r="C65" s="295" t="s">
        <v>1970</v>
      </c>
      <c r="D65" s="297"/>
      <c r="E65" s="306"/>
      <c r="F65" s="306"/>
    </row>
    <row r="66" spans="1:6">
      <c r="A66" s="298" t="s">
        <v>1948</v>
      </c>
      <c r="B66" s="672">
        <v>600400000000000</v>
      </c>
      <c r="C66" s="300" t="s">
        <v>179</v>
      </c>
      <c r="D66" s="301"/>
      <c r="E66" s="307"/>
      <c r="F66" s="307"/>
    </row>
    <row r="67" spans="1:6" ht="25.5">
      <c r="A67" s="295" t="s">
        <v>1944</v>
      </c>
      <c r="B67" s="673" t="s">
        <v>181</v>
      </c>
      <c r="C67" s="295" t="s">
        <v>1971</v>
      </c>
      <c r="D67" s="297"/>
      <c r="E67" s="306"/>
      <c r="F67" s="306"/>
    </row>
    <row r="68" spans="1:6" ht="38.25">
      <c r="A68" s="295" t="s">
        <v>1946</v>
      </c>
      <c r="B68" s="673" t="s">
        <v>183</v>
      </c>
      <c r="C68" s="295" t="s">
        <v>1972</v>
      </c>
      <c r="D68" s="297"/>
      <c r="E68" s="306"/>
      <c r="F68" s="306"/>
    </row>
    <row r="69" spans="1:6" ht="36">
      <c r="A69" s="298" t="s">
        <v>1948</v>
      </c>
      <c r="B69" s="672">
        <v>610100000000000</v>
      </c>
      <c r="C69" s="300" t="s">
        <v>182</v>
      </c>
      <c r="D69" s="301"/>
      <c r="E69" s="307"/>
      <c r="F69" s="307"/>
    </row>
    <row r="70" spans="1:6" ht="25.5">
      <c r="A70" s="295" t="s">
        <v>1946</v>
      </c>
      <c r="B70" s="673" t="s">
        <v>185</v>
      </c>
      <c r="C70" s="295" t="s">
        <v>1973</v>
      </c>
      <c r="D70" s="297"/>
      <c r="E70" s="306"/>
      <c r="F70" s="306"/>
    </row>
    <row r="71" spans="1:6" ht="24">
      <c r="A71" s="298" t="s">
        <v>1948</v>
      </c>
      <c r="B71" s="672">
        <v>610200000000000</v>
      </c>
      <c r="C71" s="300" t="s">
        <v>184</v>
      </c>
      <c r="D71" s="301"/>
      <c r="E71" s="307"/>
      <c r="F71" s="307"/>
    </row>
    <row r="72" spans="1:6" ht="25.5">
      <c r="A72" s="295" t="s">
        <v>1944</v>
      </c>
      <c r="B72" s="673" t="s">
        <v>186</v>
      </c>
      <c r="C72" s="295" t="s">
        <v>1974</v>
      </c>
      <c r="D72" s="297"/>
      <c r="E72" s="306"/>
      <c r="F72" s="306"/>
    </row>
    <row r="73" spans="1:6" ht="38.25">
      <c r="A73" s="295" t="s">
        <v>1946</v>
      </c>
      <c r="B73" s="673" t="s">
        <v>188</v>
      </c>
      <c r="C73" s="295" t="s">
        <v>1257</v>
      </c>
      <c r="D73" s="297"/>
      <c r="E73" s="306"/>
      <c r="F73" s="306"/>
    </row>
    <row r="74" spans="1:6" ht="36">
      <c r="A74" s="298" t="s">
        <v>1948</v>
      </c>
      <c r="B74" s="672">
        <v>620050000000000</v>
      </c>
      <c r="C74" s="300" t="s">
        <v>187</v>
      </c>
      <c r="D74" s="301"/>
      <c r="E74" s="307">
        <v>677835.75</v>
      </c>
      <c r="F74" s="307">
        <v>212588.15</v>
      </c>
    </row>
    <row r="75" spans="1:6" ht="38.25">
      <c r="A75" s="295" t="s">
        <v>1946</v>
      </c>
      <c r="B75" s="673" t="s">
        <v>190</v>
      </c>
      <c r="C75" s="295" t="s">
        <v>1258</v>
      </c>
      <c r="D75" s="297"/>
      <c r="E75" s="306"/>
      <c r="F75" s="306"/>
    </row>
    <row r="76" spans="1:6" ht="36">
      <c r="A76" s="298" t="s">
        <v>1948</v>
      </c>
      <c r="B76" s="672">
        <v>620100000000000</v>
      </c>
      <c r="C76" s="300" t="s">
        <v>189</v>
      </c>
      <c r="D76" s="301"/>
      <c r="E76" s="307"/>
      <c r="F76" s="307"/>
    </row>
    <row r="77" spans="1:6" ht="38.25">
      <c r="A77" s="295" t="s">
        <v>1946</v>
      </c>
      <c r="B77" s="673" t="s">
        <v>192</v>
      </c>
      <c r="C77" s="295" t="s">
        <v>1259</v>
      </c>
      <c r="D77" s="297"/>
      <c r="E77" s="306"/>
      <c r="F77" s="306"/>
    </row>
    <row r="78" spans="1:6" ht="24">
      <c r="A78" s="298" t="s">
        <v>1948</v>
      </c>
      <c r="B78" s="672">
        <v>620200000000000</v>
      </c>
      <c r="C78" s="300" t="s">
        <v>191</v>
      </c>
      <c r="D78" s="301"/>
      <c r="E78" s="307">
        <f>27764.99+9001</f>
        <v>36765.990000000005</v>
      </c>
      <c r="F78" s="307">
        <v>291085.45</v>
      </c>
    </row>
    <row r="79" spans="1:6" ht="25.5">
      <c r="A79" s="295" t="s">
        <v>1946</v>
      </c>
      <c r="B79" s="673" t="s">
        <v>194</v>
      </c>
      <c r="C79" s="295" t="s">
        <v>1260</v>
      </c>
      <c r="D79" s="297"/>
      <c r="E79" s="306"/>
      <c r="F79" s="306"/>
    </row>
    <row r="80" spans="1:6" ht="24">
      <c r="A80" s="298" t="s">
        <v>1948</v>
      </c>
      <c r="B80" s="672">
        <v>620300000000000</v>
      </c>
      <c r="C80" s="300" t="s">
        <v>193</v>
      </c>
      <c r="D80" s="301"/>
      <c r="E80" s="307"/>
      <c r="F80" s="307"/>
    </row>
    <row r="81" spans="1:6" ht="25.5">
      <c r="A81" s="295" t="s">
        <v>1946</v>
      </c>
      <c r="B81" s="673" t="s">
        <v>196</v>
      </c>
      <c r="C81" s="295" t="s">
        <v>1261</v>
      </c>
      <c r="D81" s="297"/>
      <c r="E81" s="306"/>
      <c r="F81" s="306"/>
    </row>
    <row r="82" spans="1:6" ht="24">
      <c r="A82" s="298" t="s">
        <v>1948</v>
      </c>
      <c r="B82" s="672">
        <v>620400000000000</v>
      </c>
      <c r="C82" s="300" t="s">
        <v>195</v>
      </c>
      <c r="D82" s="301"/>
      <c r="E82" s="307"/>
      <c r="F82" s="307"/>
    </row>
    <row r="83" spans="1:6" ht="25.5">
      <c r="A83" s="295" t="s">
        <v>1944</v>
      </c>
      <c r="B83" s="673" t="s">
        <v>1262</v>
      </c>
      <c r="C83" s="295" t="s">
        <v>1975</v>
      </c>
      <c r="D83" s="297"/>
      <c r="E83" s="306"/>
      <c r="F83" s="306"/>
    </row>
    <row r="84" spans="1:6" ht="25.5">
      <c r="A84" s="295" t="s">
        <v>1946</v>
      </c>
      <c r="B84" s="673" t="s">
        <v>197</v>
      </c>
      <c r="C84" s="295" t="s">
        <v>1976</v>
      </c>
      <c r="D84" s="297"/>
      <c r="E84" s="306"/>
      <c r="F84" s="306"/>
    </row>
    <row r="85" spans="1:6" ht="38.25">
      <c r="A85" s="295" t="s">
        <v>1948</v>
      </c>
      <c r="B85" s="673" t="s">
        <v>198</v>
      </c>
      <c r="C85" s="295" t="s">
        <v>1977</v>
      </c>
      <c r="D85" s="297" t="s">
        <v>1238</v>
      </c>
      <c r="E85" s="306"/>
      <c r="F85" s="306"/>
    </row>
    <row r="86" spans="1:6">
      <c r="A86" s="295" t="s">
        <v>1950</v>
      </c>
      <c r="B86" s="673" t="s">
        <v>200</v>
      </c>
      <c r="C86" s="295" t="s">
        <v>1266</v>
      </c>
      <c r="D86" s="297" t="s">
        <v>1238</v>
      </c>
      <c r="E86" s="306"/>
      <c r="F86" s="306"/>
    </row>
    <row r="87" spans="1:6">
      <c r="A87" s="298">
        <v>7</v>
      </c>
      <c r="B87" s="672">
        <v>630100100101000</v>
      </c>
      <c r="C87" s="300" t="s">
        <v>201</v>
      </c>
      <c r="D87" s="301" t="s">
        <v>1238</v>
      </c>
      <c r="E87" s="307"/>
      <c r="F87" s="307"/>
    </row>
    <row r="88" spans="1:6" ht="24">
      <c r="A88" s="298">
        <v>7</v>
      </c>
      <c r="B88" s="672">
        <v>630100100102000</v>
      </c>
      <c r="C88" s="300" t="s">
        <v>1978</v>
      </c>
      <c r="D88" s="301" t="s">
        <v>1238</v>
      </c>
      <c r="E88" s="307"/>
      <c r="F88" s="307"/>
    </row>
    <row r="89" spans="1:6">
      <c r="A89" s="295" t="s">
        <v>1950</v>
      </c>
      <c r="B89" s="673" t="s">
        <v>202</v>
      </c>
      <c r="C89" s="295" t="s">
        <v>1267</v>
      </c>
      <c r="D89" s="297" t="s">
        <v>1238</v>
      </c>
      <c r="E89" s="306"/>
      <c r="F89" s="306"/>
    </row>
    <row r="90" spans="1:6">
      <c r="A90" s="298">
        <v>7</v>
      </c>
      <c r="B90" s="672">
        <v>630100100201000</v>
      </c>
      <c r="C90" s="300" t="s">
        <v>203</v>
      </c>
      <c r="D90" s="301" t="s">
        <v>1238</v>
      </c>
      <c r="E90" s="307"/>
      <c r="F90" s="307"/>
    </row>
    <row r="91" spans="1:6" ht="24">
      <c r="A91" s="298">
        <v>7</v>
      </c>
      <c r="B91" s="672">
        <v>630100100202000</v>
      </c>
      <c r="C91" s="300" t="s">
        <v>1979</v>
      </c>
      <c r="D91" s="301" t="s">
        <v>1238</v>
      </c>
      <c r="E91" s="307"/>
      <c r="F91" s="307"/>
    </row>
    <row r="92" spans="1:6" ht="25.5">
      <c r="A92" s="295" t="s">
        <v>1950</v>
      </c>
      <c r="B92" s="673" t="s">
        <v>204</v>
      </c>
      <c r="C92" s="295" t="s">
        <v>1268</v>
      </c>
      <c r="D92" s="297" t="s">
        <v>1238</v>
      </c>
      <c r="E92" s="306"/>
      <c r="F92" s="306"/>
    </row>
    <row r="93" spans="1:6" ht="24">
      <c r="A93" s="298" t="s">
        <v>1951</v>
      </c>
      <c r="B93" s="672">
        <v>630100100250000</v>
      </c>
      <c r="C93" s="300" t="s">
        <v>1980</v>
      </c>
      <c r="D93" s="301" t="s">
        <v>1238</v>
      </c>
      <c r="E93" s="307"/>
      <c r="F93" s="307"/>
    </row>
    <row r="94" spans="1:6" ht="25.5">
      <c r="A94" s="295" t="s">
        <v>1950</v>
      </c>
      <c r="B94" s="673" t="s">
        <v>205</v>
      </c>
      <c r="C94" s="295" t="s">
        <v>1269</v>
      </c>
      <c r="D94" s="297" t="s">
        <v>1238</v>
      </c>
      <c r="E94" s="306"/>
      <c r="F94" s="306"/>
    </row>
    <row r="95" spans="1:6" ht="24">
      <c r="A95" s="298" t="s">
        <v>1951</v>
      </c>
      <c r="B95" s="672">
        <v>630100100300000</v>
      </c>
      <c r="C95" s="300" t="s">
        <v>1981</v>
      </c>
      <c r="D95" s="301" t="s">
        <v>1238</v>
      </c>
      <c r="E95" s="307"/>
      <c r="F95" s="307"/>
    </row>
    <row r="96" spans="1:6">
      <c r="A96" s="295" t="s">
        <v>1950</v>
      </c>
      <c r="B96" s="673" t="s">
        <v>206</v>
      </c>
      <c r="C96" s="295" t="s">
        <v>1270</v>
      </c>
      <c r="D96" s="297" t="s">
        <v>1238</v>
      </c>
      <c r="E96" s="306"/>
      <c r="F96" s="306"/>
    </row>
    <row r="97" spans="1:6">
      <c r="A97" s="298" t="s">
        <v>1951</v>
      </c>
      <c r="B97" s="672">
        <v>630100100400000</v>
      </c>
      <c r="C97" s="300" t="s">
        <v>1982</v>
      </c>
      <c r="D97" s="301" t="s">
        <v>1238</v>
      </c>
      <c r="E97" s="307"/>
      <c r="F97" s="307"/>
    </row>
    <row r="98" spans="1:6" ht="25.5">
      <c r="A98" s="295" t="s">
        <v>1950</v>
      </c>
      <c r="B98" s="673" t="s">
        <v>207</v>
      </c>
      <c r="C98" s="295" t="s">
        <v>1271</v>
      </c>
      <c r="D98" s="297" t="s">
        <v>1238</v>
      </c>
      <c r="E98" s="306"/>
      <c r="F98" s="306"/>
    </row>
    <row r="99" spans="1:6" ht="24">
      <c r="A99" s="298" t="s">
        <v>1951</v>
      </c>
      <c r="B99" s="672">
        <v>630100100500000</v>
      </c>
      <c r="C99" s="300" t="s">
        <v>1983</v>
      </c>
      <c r="D99" s="301" t="s">
        <v>1238</v>
      </c>
      <c r="E99" s="307"/>
      <c r="F99" s="307"/>
    </row>
    <row r="100" spans="1:6" ht="25.5">
      <c r="A100" s="295" t="s">
        <v>1950</v>
      </c>
      <c r="B100" s="673" t="s">
        <v>208</v>
      </c>
      <c r="C100" s="295" t="s">
        <v>1272</v>
      </c>
      <c r="D100" s="297" t="s">
        <v>1238</v>
      </c>
      <c r="E100" s="306"/>
      <c r="F100" s="306"/>
    </row>
    <row r="101" spans="1:6" ht="24">
      <c r="A101" s="298" t="s">
        <v>1951</v>
      </c>
      <c r="B101" s="672">
        <v>630100100600000</v>
      </c>
      <c r="C101" s="300" t="s">
        <v>1984</v>
      </c>
      <c r="D101" s="301" t="s">
        <v>1238</v>
      </c>
      <c r="E101" s="307"/>
      <c r="F101" s="307"/>
    </row>
    <row r="102" spans="1:6">
      <c r="A102" s="295" t="s">
        <v>1950</v>
      </c>
      <c r="B102" s="673" t="s">
        <v>209</v>
      </c>
      <c r="C102" s="295" t="s">
        <v>1273</v>
      </c>
      <c r="D102" s="297" t="s">
        <v>1238</v>
      </c>
      <c r="E102" s="306"/>
      <c r="F102" s="306"/>
    </row>
    <row r="103" spans="1:6">
      <c r="A103" s="298" t="s">
        <v>1951</v>
      </c>
      <c r="B103" s="672">
        <v>630100100700000</v>
      </c>
      <c r="C103" s="300" t="s">
        <v>1985</v>
      </c>
      <c r="D103" s="301" t="s">
        <v>1238</v>
      </c>
      <c r="E103" s="307"/>
      <c r="F103" s="307"/>
    </row>
    <row r="104" spans="1:6" ht="25.5">
      <c r="A104" s="295" t="s">
        <v>1950</v>
      </c>
      <c r="B104" s="673" t="s">
        <v>210</v>
      </c>
      <c r="C104" s="295" t="s">
        <v>1274</v>
      </c>
      <c r="D104" s="297" t="s">
        <v>1238</v>
      </c>
      <c r="E104" s="306"/>
      <c r="F104" s="306"/>
    </row>
    <row r="105" spans="1:6" ht="24">
      <c r="A105" s="298" t="s">
        <v>1951</v>
      </c>
      <c r="B105" s="672">
        <v>630100100800000</v>
      </c>
      <c r="C105" s="300" t="s">
        <v>1986</v>
      </c>
      <c r="D105" s="301" t="s">
        <v>1238</v>
      </c>
      <c r="E105" s="307"/>
      <c r="F105" s="307"/>
    </row>
    <row r="106" spans="1:6">
      <c r="A106" s="295" t="s">
        <v>1950</v>
      </c>
      <c r="B106" s="673" t="s">
        <v>211</v>
      </c>
      <c r="C106" s="295" t="s">
        <v>1275</v>
      </c>
      <c r="D106" s="297" t="s">
        <v>1238</v>
      </c>
      <c r="E106" s="306"/>
      <c r="F106" s="306"/>
    </row>
    <row r="107" spans="1:6" ht="24">
      <c r="A107" s="298" t="s">
        <v>1951</v>
      </c>
      <c r="B107" s="672">
        <v>630100100810000</v>
      </c>
      <c r="C107" s="300" t="s">
        <v>1987</v>
      </c>
      <c r="D107" s="301" t="s">
        <v>1238</v>
      </c>
      <c r="E107" s="307"/>
      <c r="F107" s="307"/>
    </row>
    <row r="108" spans="1:6">
      <c r="A108" s="295" t="s">
        <v>1950</v>
      </c>
      <c r="B108" s="673" t="s">
        <v>212</v>
      </c>
      <c r="C108" s="295" t="s">
        <v>1276</v>
      </c>
      <c r="D108" s="297" t="s">
        <v>1238</v>
      </c>
      <c r="E108" s="306"/>
      <c r="F108" s="306"/>
    </row>
    <row r="109" spans="1:6" ht="24">
      <c r="A109" s="298" t="s">
        <v>1951</v>
      </c>
      <c r="B109" s="672">
        <v>630100100820000</v>
      </c>
      <c r="C109" s="300" t="s">
        <v>1988</v>
      </c>
      <c r="D109" s="301" t="s">
        <v>1238</v>
      </c>
      <c r="E109" s="307"/>
      <c r="F109" s="307"/>
    </row>
    <row r="110" spans="1:6" ht="25.5">
      <c r="A110" s="295" t="s">
        <v>1950</v>
      </c>
      <c r="B110" s="673" t="s">
        <v>213</v>
      </c>
      <c r="C110" s="295" t="s">
        <v>1277</v>
      </c>
      <c r="D110" s="297" t="s">
        <v>1238</v>
      </c>
      <c r="E110" s="306"/>
      <c r="F110" s="306"/>
    </row>
    <row r="111" spans="1:6" ht="24">
      <c r="A111" s="298" t="s">
        <v>1951</v>
      </c>
      <c r="B111" s="672">
        <v>630100100830000</v>
      </c>
      <c r="C111" s="300" t="s">
        <v>1989</v>
      </c>
      <c r="D111" s="301" t="s">
        <v>1238</v>
      </c>
      <c r="E111" s="307"/>
      <c r="F111" s="307"/>
    </row>
    <row r="112" spans="1:6" ht="25.5">
      <c r="A112" s="295" t="s">
        <v>1950</v>
      </c>
      <c r="B112" s="673" t="s">
        <v>214</v>
      </c>
      <c r="C112" s="295" t="s">
        <v>1278</v>
      </c>
      <c r="D112" s="297" t="s">
        <v>1238</v>
      </c>
      <c r="E112" s="306"/>
      <c r="F112" s="306"/>
    </row>
    <row r="113" spans="1:6" ht="24">
      <c r="A113" s="298" t="s">
        <v>1951</v>
      </c>
      <c r="B113" s="672">
        <v>630100100840000</v>
      </c>
      <c r="C113" s="300" t="s">
        <v>1990</v>
      </c>
      <c r="D113" s="301" t="s">
        <v>1238</v>
      </c>
      <c r="E113" s="307"/>
      <c r="F113" s="307"/>
    </row>
    <row r="114" spans="1:6" ht="25.5">
      <c r="A114" s="295" t="s">
        <v>1950</v>
      </c>
      <c r="B114" s="673" t="s">
        <v>215</v>
      </c>
      <c r="C114" s="295" t="s">
        <v>1279</v>
      </c>
      <c r="D114" s="297" t="s">
        <v>1238</v>
      </c>
      <c r="E114" s="306"/>
      <c r="F114" s="306"/>
    </row>
    <row r="115" spans="1:6" ht="24">
      <c r="A115" s="298" t="s">
        <v>1951</v>
      </c>
      <c r="B115" s="672">
        <v>630100100850000</v>
      </c>
      <c r="C115" s="300" t="s">
        <v>1991</v>
      </c>
      <c r="D115" s="301" t="s">
        <v>1238</v>
      </c>
      <c r="E115" s="307"/>
      <c r="F115" s="307"/>
    </row>
    <row r="116" spans="1:6" ht="25.5">
      <c r="A116" s="295" t="s">
        <v>1950</v>
      </c>
      <c r="B116" s="673" t="s">
        <v>216</v>
      </c>
      <c r="C116" s="295" t="s">
        <v>1280</v>
      </c>
      <c r="D116" s="297" t="s">
        <v>1238</v>
      </c>
      <c r="E116" s="306"/>
      <c r="F116" s="306"/>
    </row>
    <row r="117" spans="1:6">
      <c r="A117" s="298">
        <v>7</v>
      </c>
      <c r="B117" s="672">
        <v>630100100911000</v>
      </c>
      <c r="C117" s="300" t="s">
        <v>1992</v>
      </c>
      <c r="D117" s="301" t="s">
        <v>1238</v>
      </c>
      <c r="E117" s="307">
        <v>599.41999999999996</v>
      </c>
      <c r="F117" s="307"/>
    </row>
    <row r="118" spans="1:6" ht="24">
      <c r="A118" s="298">
        <v>7</v>
      </c>
      <c r="B118" s="672">
        <v>630100100909000</v>
      </c>
      <c r="C118" s="300" t="s">
        <v>1993</v>
      </c>
      <c r="D118" s="301" t="s">
        <v>1238</v>
      </c>
      <c r="E118" s="307">
        <v>0</v>
      </c>
      <c r="F118" s="307"/>
    </row>
    <row r="119" spans="1:6" ht="25.5">
      <c r="A119" s="295" t="s">
        <v>1948</v>
      </c>
      <c r="B119" s="673" t="s">
        <v>218</v>
      </c>
      <c r="C119" s="295" t="s">
        <v>1994</v>
      </c>
      <c r="D119" s="297"/>
      <c r="E119" s="306"/>
      <c r="F119" s="306"/>
    </row>
    <row r="120" spans="1:6" ht="24">
      <c r="A120" s="298" t="s">
        <v>1950</v>
      </c>
      <c r="B120" s="672">
        <v>630100200000000</v>
      </c>
      <c r="C120" s="300" t="s">
        <v>217</v>
      </c>
      <c r="D120" s="301"/>
      <c r="E120" s="307">
        <v>10893</v>
      </c>
      <c r="F120" s="307">
        <v>9995.36</v>
      </c>
    </row>
    <row r="121" spans="1:6" ht="38.25">
      <c r="A121" s="295" t="s">
        <v>1948</v>
      </c>
      <c r="B121" s="673" t="s">
        <v>219</v>
      </c>
      <c r="C121" s="295" t="s">
        <v>1282</v>
      </c>
      <c r="D121" s="297"/>
      <c r="E121" s="306"/>
      <c r="F121" s="306"/>
    </row>
    <row r="122" spans="1:6">
      <c r="A122" s="295" t="s">
        <v>1950</v>
      </c>
      <c r="B122" s="673" t="s">
        <v>220</v>
      </c>
      <c r="C122" s="295" t="s">
        <v>1284</v>
      </c>
      <c r="D122" s="297"/>
      <c r="E122" s="306"/>
      <c r="F122" s="306"/>
    </row>
    <row r="123" spans="1:6" ht="24">
      <c r="A123" s="298">
        <v>7</v>
      </c>
      <c r="B123" s="672">
        <v>630100300100000</v>
      </c>
      <c r="C123" s="300" t="s">
        <v>221</v>
      </c>
      <c r="D123" s="301"/>
      <c r="E123" s="307"/>
      <c r="F123" s="307"/>
    </row>
    <row r="124" spans="1:6">
      <c r="A124" s="295" t="s">
        <v>1950</v>
      </c>
      <c r="B124" s="673" t="s">
        <v>223</v>
      </c>
      <c r="C124" s="295" t="s">
        <v>1285</v>
      </c>
      <c r="D124" s="297"/>
      <c r="E124" s="306"/>
      <c r="F124" s="306"/>
    </row>
    <row r="125" spans="1:6" ht="24">
      <c r="A125" s="298">
        <v>7</v>
      </c>
      <c r="B125" s="672">
        <v>630100300150000</v>
      </c>
      <c r="C125" s="300" t="s">
        <v>224</v>
      </c>
      <c r="D125" s="301"/>
      <c r="E125" s="307"/>
      <c r="F125" s="307"/>
    </row>
    <row r="126" spans="1:6" ht="25.5">
      <c r="A126" s="295" t="s">
        <v>1950</v>
      </c>
      <c r="B126" s="673" t="s">
        <v>225</v>
      </c>
      <c r="C126" s="295" t="s">
        <v>1286</v>
      </c>
      <c r="D126" s="297"/>
      <c r="E126" s="306"/>
      <c r="F126" s="306"/>
    </row>
    <row r="127" spans="1:6" ht="24">
      <c r="A127" s="298" t="s">
        <v>1951</v>
      </c>
      <c r="B127" s="672">
        <v>630100300160000</v>
      </c>
      <c r="C127" s="300" t="s">
        <v>1995</v>
      </c>
      <c r="D127" s="301"/>
      <c r="E127" s="307"/>
      <c r="F127" s="307"/>
    </row>
    <row r="128" spans="1:6" ht="25.5">
      <c r="A128" s="295" t="s">
        <v>1950</v>
      </c>
      <c r="B128" s="673" t="s">
        <v>226</v>
      </c>
      <c r="C128" s="295" t="s">
        <v>1288</v>
      </c>
      <c r="D128" s="297"/>
      <c r="E128" s="306"/>
      <c r="F128" s="306"/>
    </row>
    <row r="129" spans="1:6" ht="24">
      <c r="A129" s="298" t="s">
        <v>1951</v>
      </c>
      <c r="B129" s="672">
        <v>630100300200000</v>
      </c>
      <c r="C129" s="300" t="s">
        <v>1996</v>
      </c>
      <c r="D129" s="301"/>
      <c r="E129" s="307"/>
      <c r="F129" s="307"/>
    </row>
    <row r="130" spans="1:6">
      <c r="A130" s="295" t="s">
        <v>1950</v>
      </c>
      <c r="B130" s="673" t="s">
        <v>227</v>
      </c>
      <c r="C130" s="295" t="s">
        <v>1289</v>
      </c>
      <c r="D130" s="297"/>
      <c r="E130" s="306"/>
      <c r="F130" s="306"/>
    </row>
    <row r="131" spans="1:6">
      <c r="A131" s="298" t="s">
        <v>1951</v>
      </c>
      <c r="B131" s="672">
        <v>630100300250000</v>
      </c>
      <c r="C131" s="300" t="s">
        <v>1997</v>
      </c>
      <c r="D131" s="301"/>
      <c r="E131" s="307"/>
      <c r="F131" s="307"/>
    </row>
    <row r="132" spans="1:6" ht="25.5">
      <c r="A132" s="295" t="s">
        <v>1950</v>
      </c>
      <c r="B132" s="673" t="s">
        <v>229</v>
      </c>
      <c r="C132" s="295" t="s">
        <v>1290</v>
      </c>
      <c r="D132" s="297"/>
      <c r="E132" s="306"/>
      <c r="F132" s="306"/>
    </row>
    <row r="133" spans="1:6" ht="24">
      <c r="A133" s="298" t="s">
        <v>1951</v>
      </c>
      <c r="B133" s="672">
        <v>630100300300000</v>
      </c>
      <c r="C133" s="300" t="s">
        <v>228</v>
      </c>
      <c r="D133" s="301"/>
      <c r="E133" s="307"/>
      <c r="F133" s="307"/>
    </row>
    <row r="134" spans="1:6" ht="25.5">
      <c r="A134" s="295" t="s">
        <v>1950</v>
      </c>
      <c r="B134" s="673" t="s">
        <v>231</v>
      </c>
      <c r="C134" s="295" t="s">
        <v>1291</v>
      </c>
      <c r="D134" s="297"/>
      <c r="E134" s="306"/>
      <c r="F134" s="306"/>
    </row>
    <row r="135" spans="1:6" ht="24">
      <c r="A135" s="298" t="s">
        <v>1951</v>
      </c>
      <c r="B135" s="672">
        <v>630100300350000</v>
      </c>
      <c r="C135" s="300" t="s">
        <v>230</v>
      </c>
      <c r="D135" s="301"/>
      <c r="E135" s="307"/>
      <c r="F135" s="307"/>
    </row>
    <row r="136" spans="1:6">
      <c r="A136" s="295" t="s">
        <v>1950</v>
      </c>
      <c r="B136" s="673" t="s">
        <v>233</v>
      </c>
      <c r="C136" s="295" t="s">
        <v>1292</v>
      </c>
      <c r="D136" s="297"/>
      <c r="E136" s="306"/>
      <c r="F136" s="306"/>
    </row>
    <row r="137" spans="1:6">
      <c r="A137" s="298" t="s">
        <v>1951</v>
      </c>
      <c r="B137" s="672">
        <v>630100300400000</v>
      </c>
      <c r="C137" s="300" t="s">
        <v>232</v>
      </c>
      <c r="D137" s="301"/>
      <c r="E137" s="307"/>
      <c r="F137" s="307"/>
    </row>
    <row r="138" spans="1:6" ht="25.5">
      <c r="A138" s="295" t="s">
        <v>1950</v>
      </c>
      <c r="B138" s="673" t="s">
        <v>235</v>
      </c>
      <c r="C138" s="295" t="s">
        <v>1293</v>
      </c>
      <c r="D138" s="297"/>
      <c r="E138" s="306"/>
      <c r="F138" s="306"/>
    </row>
    <row r="139" spans="1:6" ht="24">
      <c r="A139" s="298" t="s">
        <v>1951</v>
      </c>
      <c r="B139" s="672">
        <v>630100300450000</v>
      </c>
      <c r="C139" s="300" t="s">
        <v>234</v>
      </c>
      <c r="D139" s="301"/>
      <c r="E139" s="307"/>
      <c r="F139" s="307"/>
    </row>
    <row r="140" spans="1:6" ht="25.5">
      <c r="A140" s="295" t="s">
        <v>1950</v>
      </c>
      <c r="B140" s="673" t="s">
        <v>237</v>
      </c>
      <c r="C140" s="295" t="s">
        <v>1294</v>
      </c>
      <c r="D140" s="297"/>
      <c r="E140" s="306"/>
      <c r="F140" s="306"/>
    </row>
    <row r="141" spans="1:6" ht="24">
      <c r="A141" s="298" t="s">
        <v>1951</v>
      </c>
      <c r="B141" s="672">
        <v>630100300510000</v>
      </c>
      <c r="C141" s="300" t="s">
        <v>236</v>
      </c>
      <c r="D141" s="301"/>
      <c r="E141" s="307"/>
      <c r="F141" s="307"/>
    </row>
    <row r="142" spans="1:6" ht="25.5">
      <c r="A142" s="295" t="s">
        <v>1950</v>
      </c>
      <c r="B142" s="673" t="s">
        <v>239</v>
      </c>
      <c r="C142" s="295" t="s">
        <v>1295</v>
      </c>
      <c r="D142" s="297"/>
      <c r="E142" s="306"/>
      <c r="F142" s="306"/>
    </row>
    <row r="143" spans="1:6" ht="24">
      <c r="A143" s="298" t="s">
        <v>1951</v>
      </c>
      <c r="B143" s="672">
        <v>630100300520000</v>
      </c>
      <c r="C143" s="300" t="s">
        <v>238</v>
      </c>
      <c r="D143" s="301"/>
      <c r="E143" s="307"/>
      <c r="F143" s="307"/>
    </row>
    <row r="144" spans="1:6" ht="25.5">
      <c r="A144" s="295" t="s">
        <v>1950</v>
      </c>
      <c r="B144" s="673" t="s">
        <v>241</v>
      </c>
      <c r="C144" s="295" t="s">
        <v>1296</v>
      </c>
      <c r="D144" s="297"/>
      <c r="E144" s="306"/>
      <c r="F144" s="306"/>
    </row>
    <row r="145" spans="1:6" ht="24">
      <c r="A145" s="298" t="s">
        <v>1951</v>
      </c>
      <c r="B145" s="672">
        <v>630100300550000</v>
      </c>
      <c r="C145" s="300" t="s">
        <v>240</v>
      </c>
      <c r="D145" s="301"/>
      <c r="E145" s="307"/>
      <c r="F145" s="307"/>
    </row>
    <row r="146" spans="1:6" ht="25.5">
      <c r="A146" s="295" t="s">
        <v>1950</v>
      </c>
      <c r="B146" s="673" t="s">
        <v>242</v>
      </c>
      <c r="C146" s="295" t="s">
        <v>1297</v>
      </c>
      <c r="D146" s="297"/>
      <c r="E146" s="306"/>
      <c r="F146" s="306"/>
    </row>
    <row r="147" spans="1:6">
      <c r="A147" s="298" t="s">
        <v>1998</v>
      </c>
      <c r="B147" s="672">
        <v>630100300600000</v>
      </c>
      <c r="C147" s="300" t="s">
        <v>243</v>
      </c>
      <c r="D147" s="301"/>
      <c r="E147" s="307"/>
      <c r="F147" s="307"/>
    </row>
    <row r="148" spans="1:6" ht="38.25">
      <c r="A148" s="295" t="s">
        <v>1950</v>
      </c>
      <c r="B148" s="673" t="s">
        <v>245</v>
      </c>
      <c r="C148" s="295" t="s">
        <v>1298</v>
      </c>
      <c r="D148" s="297"/>
      <c r="E148" s="306"/>
      <c r="F148" s="306"/>
    </row>
    <row r="149" spans="1:6" ht="24">
      <c r="A149" s="298" t="s">
        <v>1998</v>
      </c>
      <c r="B149" s="672">
        <v>630100300610000</v>
      </c>
      <c r="C149" s="300" t="s">
        <v>244</v>
      </c>
      <c r="D149" s="301"/>
      <c r="E149" s="307"/>
      <c r="F149" s="307"/>
    </row>
    <row r="150" spans="1:6" ht="38.25">
      <c r="A150" s="295" t="s">
        <v>1950</v>
      </c>
      <c r="B150" s="673" t="s">
        <v>246</v>
      </c>
      <c r="C150" s="295" t="s">
        <v>1299</v>
      </c>
      <c r="D150" s="297"/>
      <c r="E150" s="306"/>
      <c r="F150" s="306"/>
    </row>
    <row r="151" spans="1:6" ht="25.5">
      <c r="A151" s="295" t="s">
        <v>1951</v>
      </c>
      <c r="B151" s="673" t="s">
        <v>248</v>
      </c>
      <c r="C151" s="295" t="s">
        <v>1300</v>
      </c>
      <c r="D151" s="297"/>
      <c r="E151" s="306"/>
      <c r="F151" s="306"/>
    </row>
    <row r="152" spans="1:6" ht="24">
      <c r="A152" s="298" t="s">
        <v>1998</v>
      </c>
      <c r="B152" s="672">
        <v>630100300651000</v>
      </c>
      <c r="C152" s="300" t="s">
        <v>247</v>
      </c>
      <c r="D152" s="301"/>
      <c r="E152" s="307"/>
      <c r="F152" s="307"/>
    </row>
    <row r="153" spans="1:6" ht="38.25">
      <c r="A153" s="295" t="s">
        <v>1951</v>
      </c>
      <c r="B153" s="673" t="s">
        <v>250</v>
      </c>
      <c r="C153" s="295" t="s">
        <v>1301</v>
      </c>
      <c r="D153" s="297"/>
      <c r="E153" s="306"/>
      <c r="F153" s="306"/>
    </row>
    <row r="154" spans="1:6">
      <c r="A154" s="298">
        <v>8</v>
      </c>
      <c r="B154" s="672">
        <v>630100300652010</v>
      </c>
      <c r="C154" s="300" t="s">
        <v>1999</v>
      </c>
      <c r="D154" s="301"/>
      <c r="E154" s="307"/>
      <c r="F154" s="307"/>
    </row>
    <row r="155" spans="1:6" ht="24">
      <c r="A155" s="298">
        <v>8</v>
      </c>
      <c r="B155" s="672">
        <v>630100300652020</v>
      </c>
      <c r="C155" s="300" t="s">
        <v>2000</v>
      </c>
      <c r="D155" s="301"/>
      <c r="E155" s="307"/>
      <c r="F155" s="307"/>
    </row>
    <row r="156" spans="1:6" ht="24">
      <c r="A156" s="298">
        <v>8</v>
      </c>
      <c r="B156" s="674">
        <v>630100300652030</v>
      </c>
      <c r="C156" s="300" t="s">
        <v>2001</v>
      </c>
      <c r="D156" s="301"/>
      <c r="E156" s="307"/>
      <c r="F156" s="307"/>
    </row>
    <row r="157" spans="1:6" ht="24">
      <c r="A157" s="298">
        <v>8</v>
      </c>
      <c r="B157" s="672">
        <v>630100300652040</v>
      </c>
      <c r="C157" s="300" t="s">
        <v>249</v>
      </c>
      <c r="D157" s="301"/>
      <c r="E157" s="307"/>
      <c r="F157" s="307"/>
    </row>
    <row r="158" spans="1:6" ht="25.5">
      <c r="A158" s="295" t="s">
        <v>1950</v>
      </c>
      <c r="B158" s="673" t="s">
        <v>252</v>
      </c>
      <c r="C158" s="295" t="s">
        <v>1302</v>
      </c>
      <c r="D158" s="297"/>
      <c r="E158" s="306"/>
      <c r="F158" s="306"/>
    </row>
    <row r="159" spans="1:6" ht="24">
      <c r="A159" s="298" t="s">
        <v>1951</v>
      </c>
      <c r="B159" s="672">
        <v>630100300700000</v>
      </c>
      <c r="C159" s="300" t="s">
        <v>251</v>
      </c>
      <c r="D159" s="301"/>
      <c r="E159" s="307"/>
      <c r="F159" s="307"/>
    </row>
    <row r="160" spans="1:6" ht="38.25">
      <c r="A160" s="295" t="s">
        <v>1950</v>
      </c>
      <c r="B160" s="673" t="s">
        <v>254</v>
      </c>
      <c r="C160" s="295" t="s">
        <v>1303</v>
      </c>
      <c r="D160" s="297"/>
      <c r="E160" s="306"/>
      <c r="F160" s="306"/>
    </row>
    <row r="161" spans="1:6" ht="24">
      <c r="A161" s="298" t="s">
        <v>1951</v>
      </c>
      <c r="B161" s="672">
        <v>630100300800000</v>
      </c>
      <c r="C161" s="300" t="s">
        <v>253</v>
      </c>
      <c r="D161" s="301" t="s">
        <v>1238</v>
      </c>
      <c r="E161" s="307"/>
      <c r="F161" s="307"/>
    </row>
    <row r="162" spans="1:6" ht="38.25">
      <c r="A162" s="295" t="s">
        <v>1950</v>
      </c>
      <c r="B162" s="673" t="s">
        <v>256</v>
      </c>
      <c r="C162" s="295" t="s">
        <v>1304</v>
      </c>
      <c r="D162" s="297"/>
      <c r="E162" s="306"/>
      <c r="F162" s="306"/>
    </row>
    <row r="163" spans="1:6" ht="36">
      <c r="A163" s="298" t="s">
        <v>1951</v>
      </c>
      <c r="B163" s="672">
        <v>630100300900000</v>
      </c>
      <c r="C163" s="300" t="s">
        <v>255</v>
      </c>
      <c r="D163" s="301"/>
      <c r="E163" s="307"/>
      <c r="F163" s="307"/>
    </row>
    <row r="164" spans="1:6" ht="38.25">
      <c r="A164" s="295" t="s">
        <v>1946</v>
      </c>
      <c r="B164" s="673" t="s">
        <v>257</v>
      </c>
      <c r="C164" s="295" t="s">
        <v>2002</v>
      </c>
      <c r="D164" s="297"/>
      <c r="E164" s="306"/>
      <c r="F164" s="306"/>
    </row>
    <row r="165" spans="1:6" ht="25.5">
      <c r="A165" s="295" t="s">
        <v>1948</v>
      </c>
      <c r="B165" s="673" t="s">
        <v>259</v>
      </c>
      <c r="C165" s="295" t="s">
        <v>2003</v>
      </c>
      <c r="D165" s="297"/>
      <c r="E165" s="306"/>
      <c r="F165" s="306"/>
    </row>
    <row r="166" spans="1:6" ht="24">
      <c r="A166" s="298" t="s">
        <v>1950</v>
      </c>
      <c r="B166" s="672">
        <v>630200100000000</v>
      </c>
      <c r="C166" s="300" t="s">
        <v>258</v>
      </c>
      <c r="D166" s="301"/>
      <c r="E166" s="307"/>
      <c r="F166" s="307"/>
    </row>
    <row r="167" spans="1:6" ht="25.5">
      <c r="A167" s="295" t="s">
        <v>1948</v>
      </c>
      <c r="B167" s="673" t="s">
        <v>261</v>
      </c>
      <c r="C167" s="295" t="s">
        <v>2004</v>
      </c>
      <c r="D167" s="297"/>
      <c r="E167" s="306"/>
      <c r="F167" s="306"/>
    </row>
    <row r="168" spans="1:6" ht="24">
      <c r="A168" s="298" t="s">
        <v>1950</v>
      </c>
      <c r="B168" s="672">
        <v>630200200000000</v>
      </c>
      <c r="C168" s="300" t="s">
        <v>260</v>
      </c>
      <c r="D168" s="301"/>
      <c r="E168" s="307"/>
      <c r="F168" s="307"/>
    </row>
    <row r="169" spans="1:6" ht="38.25">
      <c r="A169" s="295" t="s">
        <v>1948</v>
      </c>
      <c r="B169" s="673" t="s">
        <v>262</v>
      </c>
      <c r="C169" s="295" t="s">
        <v>2005</v>
      </c>
      <c r="D169" s="297"/>
      <c r="E169" s="306"/>
      <c r="F169" s="306"/>
    </row>
    <row r="170" spans="1:6" ht="24">
      <c r="A170" s="298" t="s">
        <v>1950</v>
      </c>
      <c r="B170" s="672">
        <v>630200250000000</v>
      </c>
      <c r="C170" s="300" t="s">
        <v>2006</v>
      </c>
      <c r="D170" s="301"/>
      <c r="E170" s="307"/>
      <c r="F170" s="307"/>
    </row>
    <row r="171" spans="1:6" ht="25.5">
      <c r="A171" s="295" t="s">
        <v>1948</v>
      </c>
      <c r="B171" s="673" t="s">
        <v>264</v>
      </c>
      <c r="C171" s="295" t="s">
        <v>2007</v>
      </c>
      <c r="D171" s="297"/>
      <c r="E171" s="306"/>
      <c r="F171" s="306"/>
    </row>
    <row r="172" spans="1:6" ht="24">
      <c r="A172" s="298" t="s">
        <v>1950</v>
      </c>
      <c r="B172" s="672">
        <v>630200300000000</v>
      </c>
      <c r="C172" s="300" t="s">
        <v>263</v>
      </c>
      <c r="D172" s="301"/>
      <c r="E172" s="307"/>
      <c r="F172" s="307"/>
    </row>
    <row r="173" spans="1:6" ht="38.25">
      <c r="A173" s="295" t="s">
        <v>1948</v>
      </c>
      <c r="B173" s="673" t="s">
        <v>266</v>
      </c>
      <c r="C173" s="295" t="s">
        <v>1310</v>
      </c>
      <c r="D173" s="297"/>
      <c r="E173" s="306"/>
      <c r="F173" s="306"/>
    </row>
    <row r="174" spans="1:6" ht="36">
      <c r="A174" s="298" t="s">
        <v>1950</v>
      </c>
      <c r="B174" s="672">
        <v>630200400000000</v>
      </c>
      <c r="C174" s="300" t="s">
        <v>265</v>
      </c>
      <c r="D174" s="301"/>
      <c r="E174" s="307"/>
      <c r="F174" s="307"/>
    </row>
    <row r="175" spans="1:6" ht="25.5">
      <c r="A175" s="295" t="s">
        <v>1946</v>
      </c>
      <c r="B175" s="673" t="s">
        <v>267</v>
      </c>
      <c r="C175" s="295" t="s">
        <v>2008</v>
      </c>
      <c r="D175" s="297"/>
      <c r="E175" s="306"/>
      <c r="F175" s="306"/>
    </row>
    <row r="176" spans="1:6">
      <c r="A176" s="302">
        <v>5</v>
      </c>
      <c r="B176" s="675">
        <v>6303001000000</v>
      </c>
      <c r="C176" s="304" t="s">
        <v>268</v>
      </c>
      <c r="D176" s="305"/>
      <c r="E176" s="308"/>
      <c r="F176" s="308"/>
    </row>
    <row r="177" spans="1:6">
      <c r="A177" s="298" t="s">
        <v>1950</v>
      </c>
      <c r="B177" s="672">
        <v>630300100100000</v>
      </c>
      <c r="C177" s="300" t="s">
        <v>199</v>
      </c>
      <c r="D177" s="301"/>
      <c r="E177" s="307"/>
      <c r="F177" s="307"/>
    </row>
    <row r="178" spans="1:6">
      <c r="A178" s="298" t="s">
        <v>1950</v>
      </c>
      <c r="B178" s="672">
        <v>630300100200000</v>
      </c>
      <c r="C178" s="300" t="s">
        <v>269</v>
      </c>
      <c r="D178" s="301"/>
      <c r="E178" s="307"/>
      <c r="F178" s="307"/>
    </row>
    <row r="179" spans="1:6">
      <c r="A179" s="298" t="s">
        <v>1950</v>
      </c>
      <c r="B179" s="672">
        <v>630300100300000</v>
      </c>
      <c r="C179" s="300" t="s">
        <v>270</v>
      </c>
      <c r="D179" s="301"/>
      <c r="E179" s="307"/>
      <c r="F179" s="307"/>
    </row>
    <row r="180" spans="1:6">
      <c r="A180" s="298" t="s">
        <v>1950</v>
      </c>
      <c r="B180" s="672">
        <v>630300100400000</v>
      </c>
      <c r="C180" s="300" t="s">
        <v>222</v>
      </c>
      <c r="D180" s="301"/>
      <c r="E180" s="307"/>
      <c r="F180" s="307"/>
    </row>
    <row r="181" spans="1:6">
      <c r="A181" s="298" t="s">
        <v>1950</v>
      </c>
      <c r="B181" s="672">
        <v>630300100500000</v>
      </c>
      <c r="C181" s="300" t="s">
        <v>271</v>
      </c>
      <c r="D181" s="301"/>
      <c r="E181" s="307"/>
      <c r="F181" s="307"/>
    </row>
    <row r="182" spans="1:6">
      <c r="A182" s="298" t="s">
        <v>1950</v>
      </c>
      <c r="B182" s="672">
        <v>630300100600000</v>
      </c>
      <c r="C182" s="300" t="s">
        <v>272</v>
      </c>
      <c r="D182" s="301"/>
      <c r="E182" s="307"/>
      <c r="F182" s="307"/>
    </row>
    <row r="183" spans="1:6">
      <c r="A183" s="298" t="s">
        <v>1950</v>
      </c>
      <c r="B183" s="672">
        <v>630300100900000</v>
      </c>
      <c r="C183" s="300" t="s">
        <v>273</v>
      </c>
      <c r="D183" s="301"/>
      <c r="E183" s="307"/>
      <c r="F183" s="307"/>
    </row>
    <row r="184" spans="1:6">
      <c r="A184" s="302">
        <v>5</v>
      </c>
      <c r="B184" s="675">
        <v>6303002000000</v>
      </c>
      <c r="C184" s="304" t="s">
        <v>274</v>
      </c>
      <c r="D184" s="305"/>
      <c r="E184" s="308"/>
      <c r="F184" s="308"/>
    </row>
    <row r="185" spans="1:6">
      <c r="A185" s="298">
        <v>6</v>
      </c>
      <c r="B185" s="672">
        <v>630300200100000</v>
      </c>
      <c r="C185" s="300" t="s">
        <v>275</v>
      </c>
      <c r="D185" s="301"/>
      <c r="E185" s="307"/>
      <c r="F185" s="307"/>
    </row>
    <row r="186" spans="1:6">
      <c r="A186" s="298">
        <v>6</v>
      </c>
      <c r="B186" s="672">
        <v>630300200150000</v>
      </c>
      <c r="C186" s="300" t="s">
        <v>276</v>
      </c>
      <c r="D186" s="301"/>
      <c r="E186" s="307"/>
      <c r="F186" s="307"/>
    </row>
    <row r="187" spans="1:6">
      <c r="A187" s="298">
        <v>6</v>
      </c>
      <c r="B187" s="672">
        <v>630300200200000</v>
      </c>
      <c r="C187" s="300" t="s">
        <v>277</v>
      </c>
      <c r="D187" s="301"/>
      <c r="E187" s="307"/>
      <c r="F187" s="307"/>
    </row>
    <row r="188" spans="1:6">
      <c r="A188" s="298">
        <v>6</v>
      </c>
      <c r="B188" s="672">
        <v>630300200250000</v>
      </c>
      <c r="C188" s="300" t="s">
        <v>278</v>
      </c>
      <c r="D188" s="301"/>
      <c r="E188" s="307"/>
      <c r="F188" s="307"/>
    </row>
    <row r="189" spans="1:6">
      <c r="A189" s="298">
        <v>6</v>
      </c>
      <c r="B189" s="672">
        <v>630300200300000</v>
      </c>
      <c r="C189" s="300" t="s">
        <v>279</v>
      </c>
      <c r="D189" s="301"/>
      <c r="E189" s="307"/>
      <c r="F189" s="307"/>
    </row>
    <row r="190" spans="1:6">
      <c r="A190" s="298">
        <v>6</v>
      </c>
      <c r="B190" s="672">
        <v>630300200350000</v>
      </c>
      <c r="C190" s="300" t="s">
        <v>280</v>
      </c>
      <c r="D190" s="301"/>
      <c r="E190" s="307"/>
      <c r="F190" s="307"/>
    </row>
    <row r="191" spans="1:6">
      <c r="A191" s="298">
        <v>6</v>
      </c>
      <c r="B191" s="672">
        <v>630300200400000</v>
      </c>
      <c r="C191" s="300" t="s">
        <v>281</v>
      </c>
      <c r="D191" s="301"/>
      <c r="E191" s="307"/>
      <c r="F191" s="307"/>
    </row>
    <row r="192" spans="1:6">
      <c r="A192" s="298">
        <v>6</v>
      </c>
      <c r="B192" s="672">
        <v>630300200450000</v>
      </c>
      <c r="C192" s="300" t="s">
        <v>282</v>
      </c>
      <c r="D192" s="301"/>
      <c r="E192" s="307"/>
      <c r="F192" s="307"/>
    </row>
    <row r="193" spans="1:6">
      <c r="A193" s="298">
        <v>6</v>
      </c>
      <c r="B193" s="672">
        <v>630300200500000</v>
      </c>
      <c r="C193" s="300" t="s">
        <v>283</v>
      </c>
      <c r="D193" s="301"/>
      <c r="E193" s="307"/>
      <c r="F193" s="307"/>
    </row>
    <row r="194" spans="1:6">
      <c r="A194" s="298">
        <v>6</v>
      </c>
      <c r="B194" s="672">
        <v>630300200550000</v>
      </c>
      <c r="C194" s="300" t="s">
        <v>284</v>
      </c>
      <c r="D194" s="301"/>
      <c r="E194" s="307"/>
      <c r="F194" s="307"/>
    </row>
    <row r="195" spans="1:6">
      <c r="A195" s="298">
        <v>6</v>
      </c>
      <c r="B195" s="672">
        <v>630300200600000</v>
      </c>
      <c r="C195" s="300" t="s">
        <v>285</v>
      </c>
      <c r="D195" s="301"/>
      <c r="E195" s="307"/>
      <c r="F195" s="307"/>
    </row>
    <row r="196" spans="1:6">
      <c r="A196" s="298">
        <v>6</v>
      </c>
      <c r="B196" s="672">
        <v>630300200650000</v>
      </c>
      <c r="C196" s="300" t="s">
        <v>286</v>
      </c>
      <c r="D196" s="301"/>
      <c r="E196" s="307"/>
      <c r="F196" s="307"/>
    </row>
    <row r="197" spans="1:6">
      <c r="A197" s="298">
        <v>6</v>
      </c>
      <c r="B197" s="672">
        <v>630300200700000</v>
      </c>
      <c r="C197" s="300" t="s">
        <v>287</v>
      </c>
      <c r="D197" s="301"/>
      <c r="E197" s="307"/>
      <c r="F197" s="307"/>
    </row>
    <row r="198" spans="1:6">
      <c r="A198" s="298">
        <v>6</v>
      </c>
      <c r="B198" s="672">
        <v>630300200750000</v>
      </c>
      <c r="C198" s="300" t="s">
        <v>288</v>
      </c>
      <c r="D198" s="301"/>
      <c r="E198" s="307"/>
      <c r="F198" s="307"/>
    </row>
    <row r="199" spans="1:6" ht="24">
      <c r="A199" s="302">
        <v>6</v>
      </c>
      <c r="B199" s="675">
        <v>6303002008000</v>
      </c>
      <c r="C199" s="304" t="s">
        <v>289</v>
      </c>
      <c r="D199" s="305"/>
      <c r="E199" s="308"/>
      <c r="F199" s="308"/>
    </row>
    <row r="200" spans="1:6">
      <c r="A200" s="298">
        <v>7</v>
      </c>
      <c r="B200" s="672">
        <v>630300200801000</v>
      </c>
      <c r="C200" s="300" t="s">
        <v>290</v>
      </c>
      <c r="D200" s="301"/>
      <c r="E200" s="307"/>
      <c r="F200" s="307"/>
    </row>
    <row r="201" spans="1:6">
      <c r="A201" s="298">
        <v>7</v>
      </c>
      <c r="B201" s="672">
        <v>630300200802000</v>
      </c>
      <c r="C201" s="300" t="s">
        <v>291</v>
      </c>
      <c r="D201" s="301"/>
      <c r="E201" s="307"/>
      <c r="F201" s="307"/>
    </row>
    <row r="202" spans="1:6">
      <c r="A202" s="298">
        <v>6</v>
      </c>
      <c r="B202" s="672">
        <v>630300200900000</v>
      </c>
      <c r="C202" s="300" t="s">
        <v>292</v>
      </c>
      <c r="D202" s="301"/>
      <c r="E202" s="307"/>
      <c r="F202" s="307"/>
    </row>
    <row r="203" spans="1:6">
      <c r="A203" s="298">
        <v>5</v>
      </c>
      <c r="B203" s="672">
        <v>630300300000000</v>
      </c>
      <c r="C203" s="300" t="s">
        <v>2009</v>
      </c>
      <c r="D203" s="301"/>
      <c r="E203" s="307"/>
      <c r="F203" s="307"/>
    </row>
    <row r="204" spans="1:6">
      <c r="A204" s="298">
        <v>5</v>
      </c>
      <c r="B204" s="672">
        <v>630300400000000</v>
      </c>
      <c r="C204" s="300" t="s">
        <v>293</v>
      </c>
      <c r="D204" s="301"/>
      <c r="E204" s="307">
        <v>61499</v>
      </c>
      <c r="F204" s="307">
        <v>10668</v>
      </c>
    </row>
    <row r="205" spans="1:6">
      <c r="A205" s="298">
        <v>5</v>
      </c>
      <c r="B205" s="672">
        <v>630300500000000</v>
      </c>
      <c r="C205" s="300" t="s">
        <v>294</v>
      </c>
      <c r="D205" s="301"/>
      <c r="E205" s="307"/>
      <c r="F205" s="307"/>
    </row>
    <row r="206" spans="1:6">
      <c r="A206" s="298">
        <v>5</v>
      </c>
      <c r="B206" s="672">
        <v>630300600000000</v>
      </c>
      <c r="C206" s="300" t="s">
        <v>295</v>
      </c>
      <c r="D206" s="301"/>
      <c r="E206" s="307"/>
      <c r="F206" s="307"/>
    </row>
    <row r="207" spans="1:6">
      <c r="A207" s="298">
        <v>5</v>
      </c>
      <c r="B207" s="672">
        <v>630300700000000</v>
      </c>
      <c r="C207" s="300" t="s">
        <v>296</v>
      </c>
      <c r="D207" s="301"/>
      <c r="E207" s="307">
        <v>161102</v>
      </c>
      <c r="F207" s="307">
        <v>745600</v>
      </c>
    </row>
    <row r="208" spans="1:6">
      <c r="A208" s="298">
        <v>5</v>
      </c>
      <c r="B208" s="672">
        <v>630300800000000</v>
      </c>
      <c r="C208" s="300" t="s">
        <v>297</v>
      </c>
      <c r="D208" s="301"/>
      <c r="E208" s="307"/>
      <c r="F208" s="307"/>
    </row>
    <row r="209" spans="1:6">
      <c r="A209" s="302">
        <v>5</v>
      </c>
      <c r="B209" s="675">
        <v>6303009000000</v>
      </c>
      <c r="C209" s="304" t="s">
        <v>298</v>
      </c>
      <c r="D209" s="305"/>
      <c r="E209" s="308"/>
      <c r="F209" s="308"/>
    </row>
    <row r="210" spans="1:6">
      <c r="A210" s="298">
        <v>6</v>
      </c>
      <c r="B210" s="672">
        <v>630300900100000</v>
      </c>
      <c r="C210" s="300" t="s">
        <v>299</v>
      </c>
      <c r="D210" s="301"/>
      <c r="E210" s="307"/>
      <c r="F210" s="307"/>
    </row>
    <row r="211" spans="1:6">
      <c r="A211" s="298">
        <v>6</v>
      </c>
      <c r="B211" s="672">
        <v>630300900900000</v>
      </c>
      <c r="C211" s="300" t="s">
        <v>300</v>
      </c>
      <c r="D211" s="301"/>
      <c r="E211" s="307"/>
      <c r="F211" s="307"/>
    </row>
    <row r="212" spans="1:6" ht="25.5">
      <c r="A212" s="295" t="s">
        <v>1946</v>
      </c>
      <c r="B212" s="673" t="s">
        <v>1312</v>
      </c>
      <c r="C212" s="295" t="s">
        <v>2010</v>
      </c>
      <c r="D212" s="297"/>
      <c r="E212" s="306"/>
      <c r="F212" s="306"/>
    </row>
    <row r="213" spans="1:6" ht="25.5">
      <c r="A213" s="295" t="s">
        <v>1948</v>
      </c>
      <c r="B213" s="673" t="s">
        <v>302</v>
      </c>
      <c r="C213" s="295" t="s">
        <v>2011</v>
      </c>
      <c r="D213" s="297"/>
      <c r="E213" s="306"/>
      <c r="F213" s="306"/>
    </row>
    <row r="214" spans="1:6" ht="24">
      <c r="A214" s="298" t="s">
        <v>1950</v>
      </c>
      <c r="B214" s="672">
        <v>630400100000000</v>
      </c>
      <c r="C214" s="300" t="s">
        <v>301</v>
      </c>
      <c r="D214" s="301"/>
      <c r="E214" s="307"/>
      <c r="F214" s="307"/>
    </row>
    <row r="215" spans="1:6" ht="25.5">
      <c r="A215" s="295" t="s">
        <v>1948</v>
      </c>
      <c r="B215" s="673" t="s">
        <v>304</v>
      </c>
      <c r="C215" s="295" t="s">
        <v>2012</v>
      </c>
      <c r="D215" s="297"/>
      <c r="E215" s="306"/>
      <c r="F215" s="306"/>
    </row>
    <row r="216" spans="1:6" ht="24">
      <c r="A216" s="298" t="s">
        <v>1950</v>
      </c>
      <c r="B216" s="672">
        <v>630400200000000</v>
      </c>
      <c r="C216" s="300" t="s">
        <v>303</v>
      </c>
      <c r="D216" s="301"/>
      <c r="E216" s="307"/>
      <c r="F216" s="307"/>
    </row>
    <row r="217" spans="1:6" ht="25.5">
      <c r="A217" s="295" t="s">
        <v>1948</v>
      </c>
      <c r="B217" s="673" t="s">
        <v>306</v>
      </c>
      <c r="C217" s="295" t="s">
        <v>2013</v>
      </c>
      <c r="D217" s="297"/>
      <c r="E217" s="306"/>
      <c r="F217" s="306"/>
    </row>
    <row r="218" spans="1:6" ht="24">
      <c r="A218" s="298" t="s">
        <v>1950</v>
      </c>
      <c r="B218" s="672">
        <v>630400300000000</v>
      </c>
      <c r="C218" s="300" t="s">
        <v>305</v>
      </c>
      <c r="D218" s="301"/>
      <c r="E218" s="307"/>
      <c r="F218" s="307"/>
    </row>
    <row r="219" spans="1:6" ht="25.5">
      <c r="A219" s="295" t="s">
        <v>1948</v>
      </c>
      <c r="B219" s="673" t="s">
        <v>308</v>
      </c>
      <c r="C219" s="295" t="s">
        <v>2014</v>
      </c>
      <c r="D219" s="297"/>
      <c r="E219" s="306"/>
      <c r="F219" s="306"/>
    </row>
    <row r="220" spans="1:6" ht="24">
      <c r="A220" s="298" t="s">
        <v>1950</v>
      </c>
      <c r="B220" s="672">
        <v>630400400000000</v>
      </c>
      <c r="C220" s="300" t="s">
        <v>307</v>
      </c>
      <c r="D220" s="301"/>
      <c r="E220" s="307"/>
      <c r="F220" s="307"/>
    </row>
    <row r="221" spans="1:6" ht="38.25">
      <c r="A221" s="295" t="s">
        <v>1948</v>
      </c>
      <c r="B221" s="673" t="s">
        <v>310</v>
      </c>
      <c r="C221" s="295" t="s">
        <v>2015</v>
      </c>
      <c r="D221" s="297" t="s">
        <v>1238</v>
      </c>
      <c r="E221" s="306"/>
      <c r="F221" s="306"/>
    </row>
    <row r="222" spans="1:6" ht="36">
      <c r="A222" s="298" t="s">
        <v>1950</v>
      </c>
      <c r="B222" s="672">
        <v>630400500000000</v>
      </c>
      <c r="C222" s="300" t="s">
        <v>309</v>
      </c>
      <c r="D222" s="301" t="s">
        <v>1238</v>
      </c>
      <c r="E222" s="307"/>
      <c r="F222" s="307"/>
    </row>
    <row r="223" spans="1:6" ht="25.5">
      <c r="A223" s="295" t="s">
        <v>1948</v>
      </c>
      <c r="B223" s="673" t="s">
        <v>312</v>
      </c>
      <c r="C223" s="295" t="s">
        <v>2016</v>
      </c>
      <c r="D223" s="297"/>
      <c r="E223" s="306"/>
      <c r="F223" s="306"/>
    </row>
    <row r="224" spans="1:6">
      <c r="A224" s="298" t="s">
        <v>1950</v>
      </c>
      <c r="B224" s="672">
        <v>630400600000000</v>
      </c>
      <c r="C224" s="300" t="s">
        <v>311</v>
      </c>
      <c r="D224" s="301"/>
      <c r="E224" s="307"/>
      <c r="F224" s="307"/>
    </row>
    <row r="225" spans="1:186" ht="25.5">
      <c r="A225" s="295" t="s">
        <v>1948</v>
      </c>
      <c r="B225" s="673" t="s">
        <v>314</v>
      </c>
      <c r="C225" s="295" t="s">
        <v>2017</v>
      </c>
      <c r="D225" s="297" t="s">
        <v>1238</v>
      </c>
      <c r="E225" s="306"/>
      <c r="F225" s="306"/>
    </row>
    <row r="226" spans="1:186" ht="24">
      <c r="A226" s="298" t="s">
        <v>1950</v>
      </c>
      <c r="B226" s="672">
        <v>630400700000000</v>
      </c>
      <c r="C226" s="300" t="s">
        <v>313</v>
      </c>
      <c r="D226" s="301" t="s">
        <v>1238</v>
      </c>
      <c r="E226" s="307"/>
      <c r="F226" s="307"/>
    </row>
    <row r="227" spans="1:186">
      <c r="A227" s="295" t="s">
        <v>1944</v>
      </c>
      <c r="B227" s="673" t="s">
        <v>1321</v>
      </c>
      <c r="C227" s="295" t="s">
        <v>1322</v>
      </c>
      <c r="D227" s="297"/>
      <c r="E227" s="306"/>
      <c r="F227" s="306"/>
    </row>
    <row r="228" spans="1:186">
      <c r="A228" s="295" t="s">
        <v>1946</v>
      </c>
      <c r="B228" s="673" t="s">
        <v>316</v>
      </c>
      <c r="C228" s="295" t="s">
        <v>1323</v>
      </c>
      <c r="D228" s="297"/>
      <c r="E228" s="306"/>
      <c r="F228" s="306"/>
    </row>
    <row r="229" spans="1:186">
      <c r="A229" s="298" t="s">
        <v>1948</v>
      </c>
      <c r="B229" s="672">
        <v>640100000000000</v>
      </c>
      <c r="C229" s="300" t="s">
        <v>315</v>
      </c>
      <c r="D229" s="301"/>
      <c r="E229" s="307">
        <v>1106.94</v>
      </c>
      <c r="F229" s="307"/>
    </row>
    <row r="230" spans="1:186">
      <c r="A230" s="295" t="s">
        <v>1946</v>
      </c>
      <c r="B230" s="673" t="s">
        <v>1324</v>
      </c>
      <c r="C230" s="295" t="s">
        <v>1325</v>
      </c>
      <c r="D230" s="297"/>
      <c r="E230" s="306"/>
      <c r="F230" s="306"/>
    </row>
    <row r="231" spans="1:186" ht="25.5">
      <c r="A231" s="295" t="s">
        <v>1948</v>
      </c>
      <c r="B231" s="673" t="s">
        <v>318</v>
      </c>
      <c r="C231" s="295" t="s">
        <v>1326</v>
      </c>
      <c r="D231" s="297"/>
      <c r="E231" s="306"/>
      <c r="F231" s="306"/>
    </row>
    <row r="232" spans="1:186" ht="24">
      <c r="A232" s="298" t="s">
        <v>1950</v>
      </c>
      <c r="B232" s="672">
        <v>640200100000000</v>
      </c>
      <c r="C232" s="300" t="s">
        <v>317</v>
      </c>
      <c r="D232" s="301"/>
      <c r="E232" s="307"/>
      <c r="F232" s="307">
        <v>30822.51</v>
      </c>
    </row>
    <row r="233" spans="1:186" ht="25.5">
      <c r="A233" s="295" t="s">
        <v>1948</v>
      </c>
      <c r="B233" s="673" t="s">
        <v>320</v>
      </c>
      <c r="C233" s="295" t="s">
        <v>1327</v>
      </c>
      <c r="D233" s="297"/>
      <c r="E233" s="306"/>
      <c r="F233" s="306"/>
    </row>
    <row r="234" spans="1:186">
      <c r="A234" s="298" t="s">
        <v>1950</v>
      </c>
      <c r="B234" s="672">
        <v>640200200000000</v>
      </c>
      <c r="C234" s="300" t="s">
        <v>319</v>
      </c>
      <c r="D234" s="301"/>
      <c r="E234" s="307">
        <v>0</v>
      </c>
      <c r="F234" s="307"/>
    </row>
    <row r="235" spans="1:186" ht="25.5">
      <c r="A235" s="295" t="s">
        <v>1946</v>
      </c>
      <c r="B235" s="673" t="s">
        <v>1328</v>
      </c>
      <c r="C235" s="295" t="s">
        <v>1329</v>
      </c>
      <c r="D235" s="297" t="s">
        <v>1238</v>
      </c>
      <c r="E235" s="306"/>
      <c r="F235" s="306"/>
    </row>
    <row r="236" spans="1:186" ht="38.25">
      <c r="A236" s="295" t="s">
        <v>1948</v>
      </c>
      <c r="B236" s="673" t="s">
        <v>322</v>
      </c>
      <c r="C236" s="295" t="s">
        <v>1330</v>
      </c>
      <c r="D236" s="297" t="s">
        <v>1238</v>
      </c>
      <c r="E236" s="306"/>
      <c r="F236" s="306"/>
    </row>
    <row r="237" spans="1:186" ht="36">
      <c r="A237" s="298">
        <v>6</v>
      </c>
      <c r="B237" s="672">
        <v>640300100000000</v>
      </c>
      <c r="C237" s="300" t="s">
        <v>321</v>
      </c>
      <c r="D237" s="301" t="s">
        <v>1238</v>
      </c>
      <c r="E237" s="307">
        <v>45358.65</v>
      </c>
      <c r="F237" s="307">
        <v>135499.07999999999</v>
      </c>
    </row>
    <row r="238" spans="1:186" ht="25.5">
      <c r="A238" s="295" t="s">
        <v>1948</v>
      </c>
      <c r="B238" s="673" t="s">
        <v>324</v>
      </c>
      <c r="C238" s="295" t="s">
        <v>1331</v>
      </c>
      <c r="D238" s="297" t="s">
        <v>1238</v>
      </c>
      <c r="E238" s="306"/>
      <c r="F238" s="306"/>
    </row>
    <row r="239" spans="1:186" ht="24">
      <c r="A239" s="298" t="s">
        <v>1950</v>
      </c>
      <c r="B239" s="672">
        <v>640300200000000</v>
      </c>
      <c r="C239" s="300" t="s">
        <v>323</v>
      </c>
      <c r="D239" s="301" t="s">
        <v>1238</v>
      </c>
      <c r="E239" s="307">
        <v>431217548.94999999</v>
      </c>
      <c r="F239" s="307">
        <v>400818663.19999999</v>
      </c>
    </row>
    <row r="240" spans="1:186" ht="25.5">
      <c r="A240" s="295" t="s">
        <v>1948</v>
      </c>
      <c r="B240" s="673" t="s">
        <v>325</v>
      </c>
      <c r="C240" s="295" t="s">
        <v>1332</v>
      </c>
      <c r="D240" s="297" t="s">
        <v>1238</v>
      </c>
      <c r="E240" s="306"/>
      <c r="F240" s="306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</row>
    <row r="241" spans="1:186" ht="24">
      <c r="A241" s="298">
        <v>6</v>
      </c>
      <c r="B241" s="672">
        <v>640300300100000</v>
      </c>
      <c r="C241" s="300" t="s">
        <v>2018</v>
      </c>
      <c r="D241" s="301" t="s">
        <v>1238</v>
      </c>
      <c r="E241" s="307">
        <v>8498932.5800000001</v>
      </c>
      <c r="F241" s="307">
        <v>7899541</v>
      </c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</row>
    <row r="242" spans="1:186" ht="24">
      <c r="A242" s="298">
        <v>6</v>
      </c>
      <c r="B242" s="672">
        <v>640300300200000</v>
      </c>
      <c r="C242" s="300" t="s">
        <v>2019</v>
      </c>
      <c r="D242" s="301" t="s">
        <v>1238</v>
      </c>
      <c r="E242" s="307">
        <v>8520</v>
      </c>
      <c r="F242" s="307">
        <v>10500</v>
      </c>
    </row>
    <row r="243" spans="1:186" ht="24">
      <c r="A243" s="298">
        <v>6</v>
      </c>
      <c r="B243" s="672">
        <v>640300300900000</v>
      </c>
      <c r="C243" s="300" t="s">
        <v>2020</v>
      </c>
      <c r="D243" s="301" t="s">
        <v>1238</v>
      </c>
      <c r="E243" s="307">
        <v>1767161.44</v>
      </c>
      <c r="F243" s="307">
        <v>1743371.86</v>
      </c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</row>
    <row r="244" spans="1:186" ht="25.5">
      <c r="A244" s="295" t="s">
        <v>1948</v>
      </c>
      <c r="B244" s="673" t="s">
        <v>327</v>
      </c>
      <c r="C244" s="295" t="s">
        <v>1333</v>
      </c>
      <c r="D244" s="297" t="s">
        <v>1238</v>
      </c>
      <c r="E244" s="306"/>
      <c r="F244" s="306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</row>
    <row r="245" spans="1:186" ht="24">
      <c r="A245" s="298" t="s">
        <v>1950</v>
      </c>
      <c r="B245" s="672">
        <v>640300400000000</v>
      </c>
      <c r="C245" s="300" t="s">
        <v>326</v>
      </c>
      <c r="D245" s="301" t="s">
        <v>1238</v>
      </c>
      <c r="E245" s="307"/>
      <c r="F245" s="307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</row>
    <row r="246" spans="1:186" ht="25.5">
      <c r="A246" s="295" t="s">
        <v>1946</v>
      </c>
      <c r="B246" s="673" t="s">
        <v>328</v>
      </c>
      <c r="C246" s="295" t="s">
        <v>1334</v>
      </c>
      <c r="D246" s="297"/>
      <c r="E246" s="306"/>
      <c r="F246" s="306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</row>
    <row r="247" spans="1:186" ht="38.25">
      <c r="A247" s="295" t="s">
        <v>1948</v>
      </c>
      <c r="B247" s="673" t="s">
        <v>330</v>
      </c>
      <c r="C247" s="295" t="s">
        <v>1335</v>
      </c>
      <c r="D247" s="297"/>
      <c r="E247" s="306"/>
      <c r="F247" s="306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</row>
    <row r="248" spans="1:186" ht="36">
      <c r="A248" s="298" t="s">
        <v>1950</v>
      </c>
      <c r="B248" s="672">
        <v>640400100000000</v>
      </c>
      <c r="C248" s="300" t="s">
        <v>329</v>
      </c>
      <c r="D248" s="301"/>
      <c r="E248" s="307">
        <v>257537.95</v>
      </c>
      <c r="F248" s="307">
        <v>272596.43</v>
      </c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</row>
    <row r="249" spans="1:186" ht="25.5">
      <c r="A249" s="295" t="s">
        <v>1948</v>
      </c>
      <c r="B249" s="673" t="s">
        <v>332</v>
      </c>
      <c r="C249" s="295" t="s">
        <v>1336</v>
      </c>
      <c r="D249" s="297"/>
      <c r="E249" s="306"/>
      <c r="F249" s="306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</row>
    <row r="250" spans="1:186" ht="24">
      <c r="A250" s="298" t="s">
        <v>1950</v>
      </c>
      <c r="B250" s="672">
        <v>640400200000000</v>
      </c>
      <c r="C250" s="300" t="s">
        <v>331</v>
      </c>
      <c r="D250" s="301"/>
      <c r="E250" s="307">
        <v>420908.24</v>
      </c>
      <c r="F250" s="307">
        <v>277096.44</v>
      </c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</row>
    <row r="251" spans="1:186" ht="25.5">
      <c r="A251" s="295" t="s">
        <v>1948</v>
      </c>
      <c r="B251" s="673" t="s">
        <v>334</v>
      </c>
      <c r="C251" s="295" t="s">
        <v>1337</v>
      </c>
      <c r="D251" s="297"/>
      <c r="E251" s="306"/>
      <c r="F251" s="306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</row>
    <row r="252" spans="1:186">
      <c r="A252" s="298" t="s">
        <v>1950</v>
      </c>
      <c r="B252" s="672">
        <v>640400300100000</v>
      </c>
      <c r="C252" s="300" t="s">
        <v>335</v>
      </c>
      <c r="D252" s="301"/>
      <c r="E252" s="307"/>
      <c r="F252" s="307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</row>
    <row r="253" spans="1:186">
      <c r="A253" s="298" t="s">
        <v>1950</v>
      </c>
      <c r="B253" s="672">
        <v>640400300200000</v>
      </c>
      <c r="C253" s="300" t="s">
        <v>336</v>
      </c>
      <c r="D253" s="301"/>
      <c r="E253" s="307"/>
      <c r="F253" s="307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</row>
    <row r="254" spans="1:186">
      <c r="A254" s="298" t="s">
        <v>1950</v>
      </c>
      <c r="B254" s="672">
        <v>640400300300000</v>
      </c>
      <c r="C254" s="300" t="s">
        <v>337</v>
      </c>
      <c r="D254" s="301"/>
      <c r="E254" s="307"/>
      <c r="F254" s="307">
        <v>6226.37</v>
      </c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</row>
    <row r="255" spans="1:186">
      <c r="A255" s="298" t="s">
        <v>1950</v>
      </c>
      <c r="B255" s="672">
        <v>640400300400000</v>
      </c>
      <c r="C255" s="300" t="s">
        <v>338</v>
      </c>
      <c r="D255" s="301"/>
      <c r="E255" s="307"/>
      <c r="F255" s="307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</row>
    <row r="256" spans="1:186">
      <c r="A256" s="298" t="s">
        <v>1950</v>
      </c>
      <c r="B256" s="672">
        <v>640400300500000</v>
      </c>
      <c r="C256" s="300" t="s">
        <v>339</v>
      </c>
      <c r="D256" s="301"/>
      <c r="E256" s="307"/>
      <c r="F256" s="307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</row>
    <row r="257" spans="1:186" ht="24">
      <c r="A257" s="298" t="s">
        <v>1950</v>
      </c>
      <c r="B257" s="672">
        <v>640400300900000</v>
      </c>
      <c r="C257" s="300" t="s">
        <v>333</v>
      </c>
      <c r="D257" s="301"/>
      <c r="E257" s="307">
        <v>2719.09</v>
      </c>
      <c r="F257" s="307">
        <v>958.56</v>
      </c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</row>
    <row r="258" spans="1:186">
      <c r="A258" s="295" t="s">
        <v>1946</v>
      </c>
      <c r="B258" s="673" t="s">
        <v>340</v>
      </c>
      <c r="C258" s="295" t="s">
        <v>1338</v>
      </c>
      <c r="D258" s="297"/>
      <c r="E258" s="306"/>
      <c r="F258" s="306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</row>
    <row r="259" spans="1:186" ht="25.5">
      <c r="A259" s="295" t="s">
        <v>1948</v>
      </c>
      <c r="B259" s="673" t="s">
        <v>341</v>
      </c>
      <c r="C259" s="295" t="s">
        <v>1339</v>
      </c>
      <c r="D259" s="297"/>
      <c r="E259" s="306"/>
      <c r="F259" s="306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</row>
    <row r="260" spans="1:186" ht="25.5">
      <c r="A260" s="295" t="s">
        <v>1950</v>
      </c>
      <c r="B260" s="673" t="s">
        <v>343</v>
      </c>
      <c r="C260" s="295" t="s">
        <v>1340</v>
      </c>
      <c r="D260" s="297"/>
      <c r="E260" s="306"/>
      <c r="F260" s="306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</row>
    <row r="261" spans="1:186" ht="24">
      <c r="A261" s="298" t="s">
        <v>1951</v>
      </c>
      <c r="B261" s="672">
        <v>640500100100000</v>
      </c>
      <c r="C261" s="300" t="s">
        <v>342</v>
      </c>
      <c r="D261" s="301"/>
      <c r="E261" s="307"/>
      <c r="F261" s="307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</row>
    <row r="262" spans="1:186" ht="25.5">
      <c r="A262" s="295" t="s">
        <v>1950</v>
      </c>
      <c r="B262" s="673" t="s">
        <v>345</v>
      </c>
      <c r="C262" s="295" t="s">
        <v>1341</v>
      </c>
      <c r="D262" s="297"/>
      <c r="E262" s="306"/>
      <c r="F262" s="306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</row>
    <row r="263" spans="1:186" ht="24">
      <c r="A263" s="298" t="s">
        <v>1951</v>
      </c>
      <c r="B263" s="672">
        <v>640500100200000</v>
      </c>
      <c r="C263" s="300" t="s">
        <v>344</v>
      </c>
      <c r="D263" s="301"/>
      <c r="E263" s="307"/>
      <c r="F263" s="307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</row>
    <row r="264" spans="1:186">
      <c r="A264" s="295" t="s">
        <v>1950</v>
      </c>
      <c r="B264" s="673" t="s">
        <v>347</v>
      </c>
      <c r="C264" s="295" t="s">
        <v>1342</v>
      </c>
      <c r="D264" s="297"/>
      <c r="E264" s="306"/>
      <c r="F264" s="306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</row>
    <row r="265" spans="1:186">
      <c r="A265" s="298" t="s">
        <v>1951</v>
      </c>
      <c r="B265" s="672">
        <v>640500100300000</v>
      </c>
      <c r="C265" s="300" t="s">
        <v>346</v>
      </c>
      <c r="D265" s="301"/>
      <c r="E265" s="307"/>
      <c r="F265" s="307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</row>
    <row r="266" spans="1:186">
      <c r="A266" s="295" t="s">
        <v>1948</v>
      </c>
      <c r="B266" s="673" t="s">
        <v>349</v>
      </c>
      <c r="C266" s="295" t="s">
        <v>1343</v>
      </c>
      <c r="D266" s="297"/>
      <c r="E266" s="306"/>
      <c r="F266" s="306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</row>
    <row r="267" spans="1:186">
      <c r="A267" s="298" t="s">
        <v>1950</v>
      </c>
      <c r="B267" s="672">
        <v>640500150000000</v>
      </c>
      <c r="C267" s="300" t="s">
        <v>348</v>
      </c>
      <c r="D267" s="301"/>
      <c r="E267" s="307"/>
      <c r="F267" s="307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</row>
    <row r="268" spans="1:186">
      <c r="A268" s="295" t="s">
        <v>1948</v>
      </c>
      <c r="B268" s="673" t="s">
        <v>351</v>
      </c>
      <c r="C268" s="295" t="s">
        <v>1344</v>
      </c>
      <c r="D268" s="297"/>
      <c r="E268" s="306"/>
      <c r="F268" s="306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</row>
    <row r="269" spans="1:186">
      <c r="A269" s="298" t="s">
        <v>1950</v>
      </c>
      <c r="B269" s="672">
        <v>640500200100000</v>
      </c>
      <c r="C269" s="300" t="s">
        <v>352</v>
      </c>
      <c r="D269" s="301"/>
      <c r="E269" s="307"/>
      <c r="F269" s="307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</row>
    <row r="270" spans="1:186" ht="24">
      <c r="A270" s="298" t="s">
        <v>1950</v>
      </c>
      <c r="B270" s="672">
        <v>640500200150000</v>
      </c>
      <c r="C270" s="300" t="s">
        <v>353</v>
      </c>
      <c r="D270" s="301"/>
      <c r="E270" s="307">
        <v>27071.33</v>
      </c>
      <c r="F270" s="307">
        <v>23462.22</v>
      </c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</row>
    <row r="271" spans="1:186" ht="24">
      <c r="A271" s="298" t="s">
        <v>1950</v>
      </c>
      <c r="B271" s="672">
        <v>640500200200000</v>
      </c>
      <c r="C271" s="300" t="s">
        <v>354</v>
      </c>
      <c r="D271" s="301"/>
      <c r="E271" s="307"/>
      <c r="F271" s="307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</row>
    <row r="272" spans="1:186">
      <c r="A272" s="298" t="s">
        <v>1950</v>
      </c>
      <c r="B272" s="672">
        <v>640500200250000</v>
      </c>
      <c r="C272" s="300" t="s">
        <v>355</v>
      </c>
      <c r="D272" s="301"/>
      <c r="E272" s="307">
        <v>20586</v>
      </c>
      <c r="F272" s="307">
        <v>22342</v>
      </c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</row>
    <row r="273" spans="1:186">
      <c r="A273" s="298" t="s">
        <v>1950</v>
      </c>
      <c r="B273" s="672">
        <v>640500200300000</v>
      </c>
      <c r="C273" s="300" t="s">
        <v>356</v>
      </c>
      <c r="D273" s="301"/>
      <c r="E273" s="307"/>
      <c r="F273" s="307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</row>
    <row r="274" spans="1:186">
      <c r="A274" s="298" t="s">
        <v>1950</v>
      </c>
      <c r="B274" s="672">
        <v>640500200350000</v>
      </c>
      <c r="C274" s="300" t="s">
        <v>357</v>
      </c>
      <c r="D274" s="301"/>
      <c r="E274" s="307">
        <v>105226.68</v>
      </c>
      <c r="F274" s="307">
        <v>33308.86</v>
      </c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</row>
    <row r="275" spans="1:186">
      <c r="A275" s="298" t="s">
        <v>1950</v>
      </c>
      <c r="B275" s="672">
        <v>640500200400000</v>
      </c>
      <c r="C275" s="300" t="s">
        <v>358</v>
      </c>
      <c r="D275" s="301"/>
      <c r="E275" s="307"/>
      <c r="F275" s="307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</row>
    <row r="276" spans="1:186">
      <c r="A276" s="298" t="s">
        <v>1950</v>
      </c>
      <c r="B276" s="672">
        <v>640500200450000</v>
      </c>
      <c r="C276" s="300" t="s">
        <v>359</v>
      </c>
      <c r="D276" s="301"/>
      <c r="E276" s="307">
        <v>0</v>
      </c>
      <c r="F276" s="307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</row>
    <row r="277" spans="1:186">
      <c r="A277" s="298" t="s">
        <v>1950</v>
      </c>
      <c r="B277" s="672">
        <v>640500200500000</v>
      </c>
      <c r="C277" s="300" t="s">
        <v>360</v>
      </c>
      <c r="D277" s="301"/>
      <c r="E277" s="307">
        <v>49231.77</v>
      </c>
      <c r="F277" s="307">
        <v>31155.95</v>
      </c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</row>
    <row r="278" spans="1:186" ht="24">
      <c r="A278" s="298" t="s">
        <v>1950</v>
      </c>
      <c r="B278" s="672">
        <v>640500200550000</v>
      </c>
      <c r="C278" s="300" t="s">
        <v>361</v>
      </c>
      <c r="D278" s="301"/>
      <c r="E278" s="307"/>
      <c r="F278" s="307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</row>
    <row r="279" spans="1:186">
      <c r="A279" s="298" t="s">
        <v>1950</v>
      </c>
      <c r="B279" s="672">
        <v>640500200600000</v>
      </c>
      <c r="C279" s="300" t="s">
        <v>362</v>
      </c>
      <c r="D279" s="301"/>
      <c r="E279" s="307"/>
      <c r="F279" s="307">
        <v>25.78</v>
      </c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</row>
    <row r="280" spans="1:186">
      <c r="A280" s="298" t="s">
        <v>1950</v>
      </c>
      <c r="B280" s="672">
        <v>640500200650000</v>
      </c>
      <c r="C280" s="300" t="s">
        <v>363</v>
      </c>
      <c r="D280" s="301"/>
      <c r="E280" s="307"/>
      <c r="F280" s="307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</row>
    <row r="281" spans="1:186">
      <c r="A281" s="298" t="s">
        <v>1950</v>
      </c>
      <c r="B281" s="672">
        <v>640500200900000</v>
      </c>
      <c r="C281" s="300" t="s">
        <v>350</v>
      </c>
      <c r="D281" s="301"/>
      <c r="E281" s="307">
        <v>992267</v>
      </c>
      <c r="F281" s="307">
        <v>424389.93</v>
      </c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</row>
    <row r="282" spans="1:186" ht="25.5">
      <c r="A282" s="295" t="s">
        <v>1944</v>
      </c>
      <c r="B282" s="673" t="s">
        <v>364</v>
      </c>
      <c r="C282" s="295" t="s">
        <v>2021</v>
      </c>
      <c r="D282" s="297"/>
      <c r="E282" s="306"/>
      <c r="F282" s="306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</row>
    <row r="283" spans="1:186" ht="38.25">
      <c r="A283" s="295" t="s">
        <v>1946</v>
      </c>
      <c r="B283" s="673" t="s">
        <v>365</v>
      </c>
      <c r="C283" s="295" t="s">
        <v>2022</v>
      </c>
      <c r="D283" s="297"/>
      <c r="E283" s="306"/>
      <c r="F283" s="306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</row>
    <row r="284" spans="1:186" ht="36">
      <c r="A284" s="298" t="s">
        <v>1948</v>
      </c>
      <c r="B284" s="672">
        <v>650100000000000</v>
      </c>
      <c r="C284" s="300" t="s">
        <v>1807</v>
      </c>
      <c r="D284" s="301"/>
      <c r="E284" s="307"/>
      <c r="F284" s="307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</row>
    <row r="285" spans="1:186" ht="25.5">
      <c r="A285" s="295" t="s">
        <v>1946</v>
      </c>
      <c r="B285" s="673" t="s">
        <v>367</v>
      </c>
      <c r="C285" s="295" t="s">
        <v>2023</v>
      </c>
      <c r="D285" s="297"/>
      <c r="E285" s="306"/>
      <c r="F285" s="306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</row>
    <row r="286" spans="1:186" ht="24">
      <c r="A286" s="298" t="s">
        <v>1948</v>
      </c>
      <c r="B286" s="672">
        <v>650200000000000</v>
      </c>
      <c r="C286" s="300" t="s">
        <v>366</v>
      </c>
      <c r="D286" s="301"/>
      <c r="E286" s="307"/>
      <c r="F286" s="307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</row>
    <row r="287" spans="1:186" ht="25.5">
      <c r="A287" s="295" t="s">
        <v>1946</v>
      </c>
      <c r="B287" s="673" t="s">
        <v>369</v>
      </c>
      <c r="C287" s="295" t="s">
        <v>2024</v>
      </c>
      <c r="D287" s="297"/>
      <c r="E287" s="306"/>
      <c r="F287" s="306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</row>
    <row r="288" spans="1:186" ht="24">
      <c r="A288" s="298" t="s">
        <v>1948</v>
      </c>
      <c r="B288" s="672">
        <v>650300000000000</v>
      </c>
      <c r="C288" s="300" t="s">
        <v>368</v>
      </c>
      <c r="D288" s="301"/>
      <c r="E288" s="307"/>
      <c r="F288" s="307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</row>
    <row r="289" spans="1:186">
      <c r="A289" s="295" t="s">
        <v>1944</v>
      </c>
      <c r="B289" s="673" t="s">
        <v>370</v>
      </c>
      <c r="C289" s="295" t="s">
        <v>2025</v>
      </c>
      <c r="D289" s="297"/>
      <c r="E289" s="306"/>
      <c r="F289" s="306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</row>
    <row r="290" spans="1:186" ht="25.5">
      <c r="A290" s="295" t="s">
        <v>1946</v>
      </c>
      <c r="B290" s="673" t="s">
        <v>372</v>
      </c>
      <c r="C290" s="295" t="s">
        <v>1350</v>
      </c>
      <c r="D290" s="297"/>
      <c r="E290" s="306"/>
      <c r="F290" s="306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</row>
    <row r="291" spans="1:186" ht="24">
      <c r="A291" s="298" t="s">
        <v>1948</v>
      </c>
      <c r="B291" s="672">
        <v>660100000000000</v>
      </c>
      <c r="C291" s="300" t="s">
        <v>371</v>
      </c>
      <c r="D291" s="301"/>
      <c r="E291" s="307"/>
      <c r="F291" s="307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</row>
    <row r="292" spans="1:186" ht="25.5">
      <c r="A292" s="295" t="s">
        <v>1946</v>
      </c>
      <c r="B292" s="673" t="s">
        <v>374</v>
      </c>
      <c r="C292" s="295" t="s">
        <v>2026</v>
      </c>
      <c r="D292" s="297"/>
      <c r="E292" s="306"/>
      <c r="F292" s="306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</row>
    <row r="293" spans="1:186" ht="24">
      <c r="A293" s="298" t="s">
        <v>1948</v>
      </c>
      <c r="B293" s="672">
        <v>660200000000000</v>
      </c>
      <c r="C293" s="300" t="s">
        <v>373</v>
      </c>
      <c r="D293" s="301"/>
      <c r="E293" s="307">
        <v>162903.45000000001</v>
      </c>
      <c r="F293" s="307">
        <v>209090.11</v>
      </c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</row>
    <row r="294" spans="1:186" ht="25.5">
      <c r="A294" s="295" t="s">
        <v>1946</v>
      </c>
      <c r="B294" s="673" t="s">
        <v>376</v>
      </c>
      <c r="C294" s="295" t="s">
        <v>2027</v>
      </c>
      <c r="D294" s="297"/>
      <c r="E294" s="306"/>
      <c r="F294" s="306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</row>
    <row r="295" spans="1:186" ht="24">
      <c r="A295" s="298" t="s">
        <v>1948</v>
      </c>
      <c r="B295" s="672">
        <v>660300000000000</v>
      </c>
      <c r="C295" s="300" t="s">
        <v>375</v>
      </c>
      <c r="D295" s="301"/>
      <c r="E295" s="307"/>
      <c r="F295" s="307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</row>
    <row r="296" spans="1:186" ht="25.5">
      <c r="A296" s="295" t="s">
        <v>1946</v>
      </c>
      <c r="B296" s="673" t="s">
        <v>378</v>
      </c>
      <c r="C296" s="295" t="s">
        <v>1353</v>
      </c>
      <c r="D296" s="297"/>
      <c r="E296" s="306"/>
      <c r="F296" s="306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</row>
    <row r="297" spans="1:186" ht="24">
      <c r="A297" s="298" t="s">
        <v>1948</v>
      </c>
      <c r="B297" s="672">
        <v>660400000000000</v>
      </c>
      <c r="C297" s="300" t="s">
        <v>377</v>
      </c>
      <c r="D297" s="301"/>
      <c r="E297" s="307"/>
      <c r="F297" s="307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</row>
    <row r="298" spans="1:186" ht="25.5">
      <c r="A298" s="295" t="s">
        <v>1946</v>
      </c>
      <c r="B298" s="673" t="s">
        <v>380</v>
      </c>
      <c r="C298" s="295" t="s">
        <v>1354</v>
      </c>
      <c r="D298" s="297"/>
      <c r="E298" s="306"/>
      <c r="F298" s="306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</row>
    <row r="299" spans="1:186" ht="24">
      <c r="A299" s="298" t="s">
        <v>1948</v>
      </c>
      <c r="B299" s="672">
        <v>660500000000000</v>
      </c>
      <c r="C299" s="300" t="s">
        <v>379</v>
      </c>
      <c r="D299" s="301"/>
      <c r="E299" s="307"/>
      <c r="F299" s="307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</row>
    <row r="300" spans="1:186" ht="25.5">
      <c r="A300" s="295" t="s">
        <v>1946</v>
      </c>
      <c r="B300" s="673" t="s">
        <v>382</v>
      </c>
      <c r="C300" s="295" t="s">
        <v>1355</v>
      </c>
      <c r="D300" s="297"/>
      <c r="E300" s="306"/>
      <c r="F300" s="306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</row>
    <row r="301" spans="1:186" ht="24">
      <c r="A301" s="298" t="s">
        <v>1948</v>
      </c>
      <c r="B301" s="672">
        <v>660600000000000</v>
      </c>
      <c r="C301" s="300" t="s">
        <v>381</v>
      </c>
      <c r="D301" s="301"/>
      <c r="E301" s="307"/>
      <c r="F301" s="307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</row>
    <row r="302" spans="1:186">
      <c r="A302" s="295" t="s">
        <v>1944</v>
      </c>
      <c r="B302" s="673" t="s">
        <v>383</v>
      </c>
      <c r="C302" s="295" t="s">
        <v>2028</v>
      </c>
      <c r="D302" s="297"/>
      <c r="E302" s="306"/>
      <c r="F302" s="306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</row>
    <row r="303" spans="1:186">
      <c r="A303" s="298" t="s">
        <v>1946</v>
      </c>
      <c r="B303" s="672">
        <v>670000000000000</v>
      </c>
      <c r="C303" s="300" t="s">
        <v>30</v>
      </c>
      <c r="D303" s="301"/>
      <c r="E303" s="307"/>
      <c r="F303" s="307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</row>
    <row r="304" spans="1:186">
      <c r="A304" s="295" t="s">
        <v>1944</v>
      </c>
      <c r="B304" s="673" t="s">
        <v>384</v>
      </c>
      <c r="C304" s="295" t="s">
        <v>1357</v>
      </c>
      <c r="D304" s="297"/>
      <c r="E304" s="306"/>
      <c r="F304" s="306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</row>
    <row r="305" spans="1:186">
      <c r="A305" s="295" t="s">
        <v>1946</v>
      </c>
      <c r="B305" s="673" t="s">
        <v>385</v>
      </c>
      <c r="C305" s="295" t="s">
        <v>1358</v>
      </c>
      <c r="D305" s="297"/>
      <c r="E305" s="306"/>
      <c r="F305" s="306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</row>
    <row r="306" spans="1:186">
      <c r="A306" s="298">
        <v>5</v>
      </c>
      <c r="B306" s="672">
        <v>680100100000000</v>
      </c>
      <c r="C306" s="300" t="s">
        <v>386</v>
      </c>
      <c r="D306" s="301"/>
      <c r="E306" s="307"/>
      <c r="F306" s="307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</row>
    <row r="307" spans="1:186">
      <c r="A307" s="298">
        <v>5</v>
      </c>
      <c r="B307" s="672">
        <v>680100200000000</v>
      </c>
      <c r="C307" s="300" t="s">
        <v>387</v>
      </c>
      <c r="D307" s="301"/>
      <c r="E307" s="307"/>
      <c r="F307" s="307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</row>
    <row r="308" spans="1:186">
      <c r="A308" s="298">
        <v>5</v>
      </c>
      <c r="B308" s="672">
        <v>680100900000000</v>
      </c>
      <c r="C308" s="300" t="s">
        <v>388</v>
      </c>
      <c r="D308" s="301"/>
      <c r="E308" s="307"/>
      <c r="F308" s="307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</row>
    <row r="309" spans="1:186">
      <c r="A309" s="295" t="s">
        <v>1946</v>
      </c>
      <c r="B309" s="673" t="s">
        <v>389</v>
      </c>
      <c r="C309" s="295" t="s">
        <v>1359</v>
      </c>
      <c r="D309" s="297"/>
      <c r="E309" s="306"/>
      <c r="F309" s="306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</row>
    <row r="310" spans="1:186">
      <c r="A310" s="298">
        <v>5</v>
      </c>
      <c r="B310" s="672">
        <v>680200100000000</v>
      </c>
      <c r="C310" s="300" t="s">
        <v>390</v>
      </c>
      <c r="D310" s="301"/>
      <c r="E310" s="307"/>
      <c r="F310" s="307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</row>
    <row r="311" spans="1:186">
      <c r="A311" s="298">
        <v>5</v>
      </c>
      <c r="B311" s="672">
        <v>680200200000000</v>
      </c>
      <c r="C311" s="300" t="s">
        <v>391</v>
      </c>
      <c r="D311" s="301"/>
      <c r="E311" s="307"/>
      <c r="F311" s="307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</row>
    <row r="312" spans="1:186">
      <c r="A312" s="298">
        <v>5</v>
      </c>
      <c r="B312" s="672">
        <v>680200900000000</v>
      </c>
      <c r="C312" s="300" t="s">
        <v>392</v>
      </c>
      <c r="D312" s="301"/>
      <c r="E312" s="307"/>
      <c r="F312" s="307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</row>
    <row r="313" spans="1:186">
      <c r="A313" s="295" t="s">
        <v>1946</v>
      </c>
      <c r="B313" s="673" t="s">
        <v>394</v>
      </c>
      <c r="C313" s="295" t="s">
        <v>1360</v>
      </c>
      <c r="D313" s="297"/>
      <c r="E313" s="306"/>
      <c r="F313" s="306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</row>
    <row r="314" spans="1:186" ht="24">
      <c r="A314" s="298">
        <v>5</v>
      </c>
      <c r="B314" s="672">
        <v>680300100000000</v>
      </c>
      <c r="C314" s="300" t="s">
        <v>395</v>
      </c>
      <c r="D314" s="301"/>
      <c r="E314" s="307"/>
      <c r="F314" s="307">
        <v>6250</v>
      </c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</row>
    <row r="315" spans="1:186">
      <c r="A315" s="298">
        <v>5</v>
      </c>
      <c r="B315" s="672">
        <v>680300200000000</v>
      </c>
      <c r="C315" s="300" t="s">
        <v>396</v>
      </c>
      <c r="D315" s="301"/>
      <c r="E315" s="307"/>
      <c r="F315" s="307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</row>
    <row r="316" spans="1:186">
      <c r="A316" s="298">
        <v>5</v>
      </c>
      <c r="B316" s="672">
        <v>680300900000000</v>
      </c>
      <c r="C316" s="300" t="s">
        <v>393</v>
      </c>
      <c r="D316" s="301"/>
      <c r="E316" s="307">
        <v>9190.73</v>
      </c>
      <c r="F316" s="307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</row>
    <row r="317" spans="1:186">
      <c r="A317" s="316">
        <v>2</v>
      </c>
      <c r="B317" s="673" t="s">
        <v>2563</v>
      </c>
      <c r="C317" s="296" t="s">
        <v>2564</v>
      </c>
      <c r="D317" s="310"/>
      <c r="E317" s="319"/>
      <c r="F317" s="319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</row>
    <row r="318" spans="1:186">
      <c r="A318" s="295" t="s">
        <v>1944</v>
      </c>
      <c r="B318" s="673" t="s">
        <v>397</v>
      </c>
      <c r="C318" s="295" t="s">
        <v>1702</v>
      </c>
      <c r="D318" s="297"/>
      <c r="E318" s="320"/>
      <c r="F318" s="320"/>
    </row>
    <row r="319" spans="1:186">
      <c r="A319" s="295" t="s">
        <v>1946</v>
      </c>
      <c r="B319" s="673" t="s">
        <v>399</v>
      </c>
      <c r="C319" s="295" t="s">
        <v>1703</v>
      </c>
      <c r="D319" s="297"/>
      <c r="E319" s="320"/>
      <c r="F319" s="320"/>
    </row>
    <row r="320" spans="1:186">
      <c r="A320" s="298" t="s">
        <v>1948</v>
      </c>
      <c r="B320" s="672">
        <v>690100000000000</v>
      </c>
      <c r="C320" s="300" t="s">
        <v>398</v>
      </c>
      <c r="D320" s="301"/>
      <c r="E320" s="321"/>
      <c r="F320" s="321">
        <v>0.01</v>
      </c>
    </row>
    <row r="321" spans="1:6">
      <c r="A321" s="295" t="s">
        <v>1946</v>
      </c>
      <c r="B321" s="673" t="s">
        <v>400</v>
      </c>
      <c r="C321" s="295" t="s">
        <v>1704</v>
      </c>
      <c r="D321" s="297"/>
      <c r="E321" s="320"/>
      <c r="F321" s="320"/>
    </row>
    <row r="322" spans="1:6">
      <c r="A322" s="298" t="s">
        <v>1948</v>
      </c>
      <c r="B322" s="672">
        <v>690200100000000</v>
      </c>
      <c r="C322" s="300" t="s">
        <v>401</v>
      </c>
      <c r="D322" s="301"/>
      <c r="E322" s="321"/>
      <c r="F322" s="321"/>
    </row>
    <row r="323" spans="1:6">
      <c r="A323" s="298" t="s">
        <v>1948</v>
      </c>
      <c r="B323" s="672">
        <v>690200200000000</v>
      </c>
      <c r="C323" s="300" t="s">
        <v>402</v>
      </c>
      <c r="D323" s="301"/>
      <c r="E323" s="321"/>
      <c r="F323" s="321"/>
    </row>
    <row r="324" spans="1:6">
      <c r="A324" s="295" t="s">
        <v>1946</v>
      </c>
      <c r="B324" s="673" t="s">
        <v>404</v>
      </c>
      <c r="C324" s="295" t="s">
        <v>1705</v>
      </c>
      <c r="D324" s="297"/>
      <c r="E324" s="320"/>
      <c r="F324" s="320"/>
    </row>
    <row r="325" spans="1:6">
      <c r="A325" s="298" t="s">
        <v>1948</v>
      </c>
      <c r="B325" s="672">
        <v>690300100000000</v>
      </c>
      <c r="C325" s="300" t="s">
        <v>405</v>
      </c>
      <c r="D325" s="301"/>
      <c r="E325" s="321"/>
      <c r="F325" s="321"/>
    </row>
    <row r="326" spans="1:6">
      <c r="A326" s="298" t="s">
        <v>1948</v>
      </c>
      <c r="B326" s="672">
        <v>690300200000000</v>
      </c>
      <c r="C326" s="300" t="s">
        <v>2565</v>
      </c>
      <c r="D326" s="301"/>
      <c r="E326" s="321"/>
      <c r="F326" s="321"/>
    </row>
    <row r="327" spans="1:6">
      <c r="A327" s="298" t="s">
        <v>1948</v>
      </c>
      <c r="B327" s="672">
        <v>690300900000000</v>
      </c>
      <c r="C327" s="300" t="s">
        <v>403</v>
      </c>
      <c r="D327" s="301"/>
      <c r="E327" s="321"/>
      <c r="F327" s="321"/>
    </row>
    <row r="328" spans="1:6">
      <c r="A328" s="295" t="s">
        <v>1944</v>
      </c>
      <c r="B328" s="673" t="s">
        <v>406</v>
      </c>
      <c r="C328" s="295" t="s">
        <v>1706</v>
      </c>
      <c r="D328" s="297"/>
      <c r="E328" s="320"/>
      <c r="F328" s="320"/>
    </row>
    <row r="329" spans="1:6">
      <c r="A329" s="295" t="s">
        <v>1946</v>
      </c>
      <c r="B329" s="673" t="s">
        <v>408</v>
      </c>
      <c r="C329" s="295" t="s">
        <v>1707</v>
      </c>
      <c r="D329" s="297"/>
      <c r="E329" s="320"/>
      <c r="F329" s="320"/>
    </row>
    <row r="330" spans="1:6">
      <c r="A330" s="298" t="s">
        <v>1948</v>
      </c>
      <c r="B330" s="672">
        <v>700100000000000</v>
      </c>
      <c r="C330" s="300" t="s">
        <v>407</v>
      </c>
      <c r="D330" s="301"/>
      <c r="E330" s="321"/>
      <c r="F330" s="321"/>
    </row>
    <row r="331" spans="1:6" ht="25.5">
      <c r="A331" s="295" t="s">
        <v>1946</v>
      </c>
      <c r="B331" s="673" t="s">
        <v>410</v>
      </c>
      <c r="C331" s="295" t="s">
        <v>1708</v>
      </c>
      <c r="D331" s="297"/>
      <c r="E331" s="320"/>
      <c r="F331" s="320"/>
    </row>
    <row r="332" spans="1:6" ht="24">
      <c r="A332" s="298" t="s">
        <v>1948</v>
      </c>
      <c r="B332" s="672">
        <v>700200000000000</v>
      </c>
      <c r="C332" s="300" t="s">
        <v>409</v>
      </c>
      <c r="D332" s="301"/>
      <c r="E332" s="321"/>
      <c r="F332" s="321"/>
    </row>
    <row r="333" spans="1:6" ht="25.5">
      <c r="A333" s="295" t="s">
        <v>1946</v>
      </c>
      <c r="B333" s="673" t="s">
        <v>412</v>
      </c>
      <c r="C333" s="295" t="s">
        <v>1709</v>
      </c>
      <c r="D333" s="297"/>
      <c r="E333" s="320"/>
      <c r="F333" s="320"/>
    </row>
    <row r="334" spans="1:6">
      <c r="A334" s="298" t="s">
        <v>1948</v>
      </c>
      <c r="B334" s="672">
        <v>700300000000000</v>
      </c>
      <c r="C334" s="300" t="s">
        <v>411</v>
      </c>
      <c r="D334" s="301"/>
      <c r="E334" s="321"/>
      <c r="F334" s="321"/>
    </row>
    <row r="335" spans="1:6">
      <c r="A335" s="295" t="s">
        <v>1946</v>
      </c>
      <c r="B335" s="673" t="s">
        <v>414</v>
      </c>
      <c r="C335" s="295" t="s">
        <v>1710</v>
      </c>
      <c r="D335" s="297"/>
      <c r="E335" s="320"/>
      <c r="F335" s="320"/>
    </row>
    <row r="336" spans="1:6">
      <c r="A336" s="298" t="s">
        <v>1948</v>
      </c>
      <c r="B336" s="672">
        <v>700400000000000</v>
      </c>
      <c r="C336" s="300" t="s">
        <v>413</v>
      </c>
      <c r="D336" s="301"/>
      <c r="E336" s="321"/>
      <c r="F336" s="321"/>
    </row>
    <row r="337" spans="1:6">
      <c r="A337" s="295" t="s">
        <v>1946</v>
      </c>
      <c r="B337" s="673" t="s">
        <v>416</v>
      </c>
      <c r="C337" s="295" t="s">
        <v>1711</v>
      </c>
      <c r="D337" s="297"/>
      <c r="E337" s="320"/>
      <c r="F337" s="320"/>
    </row>
    <row r="338" spans="1:6">
      <c r="A338" s="298" t="s">
        <v>1948</v>
      </c>
      <c r="B338" s="672">
        <v>700500000000000</v>
      </c>
      <c r="C338" s="300" t="s">
        <v>415</v>
      </c>
      <c r="D338" s="301"/>
      <c r="E338" s="321"/>
      <c r="F338" s="321"/>
    </row>
    <row r="339" spans="1:6">
      <c r="A339" s="316">
        <v>2</v>
      </c>
      <c r="B339" s="673" t="s">
        <v>2568</v>
      </c>
      <c r="C339" s="296" t="s">
        <v>2569</v>
      </c>
      <c r="D339" s="310"/>
      <c r="E339" s="319"/>
      <c r="F339" s="319"/>
    </row>
    <row r="340" spans="1:6">
      <c r="A340" s="295" t="s">
        <v>1944</v>
      </c>
      <c r="B340" s="673" t="s">
        <v>418</v>
      </c>
      <c r="C340" s="295" t="s">
        <v>2570</v>
      </c>
      <c r="D340" s="297"/>
      <c r="E340" s="320"/>
      <c r="F340" s="320"/>
    </row>
    <row r="341" spans="1:6">
      <c r="A341" s="298" t="s">
        <v>1946</v>
      </c>
      <c r="B341" s="672">
        <v>710000000000000</v>
      </c>
      <c r="C341" s="300" t="s">
        <v>417</v>
      </c>
      <c r="D341" s="301"/>
      <c r="E341" s="321"/>
      <c r="F341" s="321"/>
    </row>
    <row r="342" spans="1:6">
      <c r="A342" s="318" t="s">
        <v>1941</v>
      </c>
      <c r="B342" s="673" t="s">
        <v>2572</v>
      </c>
      <c r="C342" s="295" t="s">
        <v>2573</v>
      </c>
      <c r="D342" s="297"/>
      <c r="E342" s="320"/>
      <c r="F342" s="320"/>
    </row>
    <row r="343" spans="1:6">
      <c r="A343" s="295" t="s">
        <v>1944</v>
      </c>
      <c r="B343" s="673" t="s">
        <v>419</v>
      </c>
      <c r="C343" s="295" t="s">
        <v>1728</v>
      </c>
      <c r="D343" s="297"/>
      <c r="E343" s="320"/>
      <c r="F343" s="320"/>
    </row>
    <row r="344" spans="1:6">
      <c r="A344" s="295" t="s">
        <v>1946</v>
      </c>
      <c r="B344" s="673" t="s">
        <v>421</v>
      </c>
      <c r="C344" s="295" t="s">
        <v>1729</v>
      </c>
      <c r="D344" s="297"/>
      <c r="E344" s="320"/>
      <c r="F344" s="320"/>
    </row>
    <row r="345" spans="1:6">
      <c r="A345" s="298" t="s">
        <v>1948</v>
      </c>
      <c r="B345" s="672">
        <v>720100000000000</v>
      </c>
      <c r="C345" s="300" t="s">
        <v>420</v>
      </c>
      <c r="D345" s="301"/>
      <c r="E345" s="321"/>
      <c r="F345" s="321"/>
    </row>
    <row r="346" spans="1:6">
      <c r="A346" s="295" t="s">
        <v>1946</v>
      </c>
      <c r="B346" s="673" t="s">
        <v>423</v>
      </c>
      <c r="C346" s="295" t="s">
        <v>1730</v>
      </c>
      <c r="D346" s="297"/>
      <c r="E346" s="320"/>
      <c r="F346" s="320"/>
    </row>
    <row r="347" spans="1:6">
      <c r="A347" s="295" t="s">
        <v>1948</v>
      </c>
      <c r="B347" s="673" t="s">
        <v>425</v>
      </c>
      <c r="C347" s="295" t="s">
        <v>1731</v>
      </c>
      <c r="D347" s="297"/>
      <c r="E347" s="320"/>
      <c r="F347" s="320"/>
    </row>
    <row r="348" spans="1:6">
      <c r="A348" s="298" t="s">
        <v>1950</v>
      </c>
      <c r="B348" s="672">
        <v>720200100000000</v>
      </c>
      <c r="C348" s="300" t="s">
        <v>424</v>
      </c>
      <c r="D348" s="301"/>
      <c r="E348" s="321"/>
      <c r="F348" s="321"/>
    </row>
    <row r="349" spans="1:6">
      <c r="A349" s="295" t="s">
        <v>1948</v>
      </c>
      <c r="B349" s="673" t="s">
        <v>426</v>
      </c>
      <c r="C349" s="295" t="s">
        <v>1732</v>
      </c>
      <c r="D349" s="297"/>
      <c r="E349" s="320"/>
      <c r="F349" s="320"/>
    </row>
    <row r="350" spans="1:6" ht="25.5">
      <c r="A350" s="295" t="s">
        <v>1950</v>
      </c>
      <c r="B350" s="673" t="s">
        <v>428</v>
      </c>
      <c r="C350" s="295" t="s">
        <v>1733</v>
      </c>
      <c r="D350" s="297"/>
      <c r="E350" s="320"/>
      <c r="F350" s="320"/>
    </row>
    <row r="351" spans="1:6">
      <c r="A351" s="298" t="s">
        <v>1951</v>
      </c>
      <c r="B351" s="672">
        <v>720200200100000</v>
      </c>
      <c r="C351" s="300" t="s">
        <v>427</v>
      </c>
      <c r="D351" s="301"/>
      <c r="E351" s="321">
        <v>2411121</v>
      </c>
      <c r="F351" s="321">
        <v>17418.72</v>
      </c>
    </row>
    <row r="352" spans="1:6" ht="25.5">
      <c r="A352" s="295" t="s">
        <v>1950</v>
      </c>
      <c r="B352" s="673" t="s">
        <v>430</v>
      </c>
      <c r="C352" s="295" t="s">
        <v>1734</v>
      </c>
      <c r="D352" s="297" t="s">
        <v>1238</v>
      </c>
      <c r="E352" s="320"/>
      <c r="F352" s="320"/>
    </row>
    <row r="353" spans="1:6" ht="24">
      <c r="A353" s="298" t="s">
        <v>1951</v>
      </c>
      <c r="B353" s="672">
        <v>720200200150000</v>
      </c>
      <c r="C353" s="300" t="s">
        <v>429</v>
      </c>
      <c r="D353" s="301" t="s">
        <v>1238</v>
      </c>
      <c r="E353" s="321">
        <v>60049.45</v>
      </c>
      <c r="F353" s="321"/>
    </row>
    <row r="354" spans="1:6">
      <c r="A354" s="295" t="s">
        <v>1950</v>
      </c>
      <c r="B354" s="673" t="s">
        <v>431</v>
      </c>
      <c r="C354" s="295" t="s">
        <v>1735</v>
      </c>
      <c r="D354" s="297"/>
      <c r="E354" s="320"/>
      <c r="F354" s="320"/>
    </row>
    <row r="355" spans="1:6" ht="25.5">
      <c r="A355" s="295" t="s">
        <v>1951</v>
      </c>
      <c r="B355" s="673" t="s">
        <v>433</v>
      </c>
      <c r="C355" s="295" t="s">
        <v>1736</v>
      </c>
      <c r="D355" s="297"/>
      <c r="E355" s="320"/>
      <c r="F355" s="320"/>
    </row>
    <row r="356" spans="1:6" ht="24">
      <c r="A356" s="298" t="s">
        <v>1998</v>
      </c>
      <c r="B356" s="672">
        <v>720200200201000</v>
      </c>
      <c r="C356" s="300" t="s">
        <v>432</v>
      </c>
      <c r="D356" s="301"/>
      <c r="E356" s="321"/>
      <c r="F356" s="321"/>
    </row>
    <row r="357" spans="1:6" ht="25.5">
      <c r="A357" s="295" t="s">
        <v>1951</v>
      </c>
      <c r="B357" s="673" t="s">
        <v>435</v>
      </c>
      <c r="C357" s="295" t="s">
        <v>1737</v>
      </c>
      <c r="D357" s="297"/>
      <c r="E357" s="320"/>
      <c r="F357" s="320"/>
    </row>
    <row r="358" spans="1:6">
      <c r="A358" s="298" t="s">
        <v>1998</v>
      </c>
      <c r="B358" s="672">
        <v>720200200202000</v>
      </c>
      <c r="C358" s="300" t="s">
        <v>434</v>
      </c>
      <c r="D358" s="301"/>
      <c r="E358" s="321">
        <v>3093.92</v>
      </c>
      <c r="F358" s="321"/>
    </row>
    <row r="359" spans="1:6" ht="25.5">
      <c r="A359" s="295" t="s">
        <v>1951</v>
      </c>
      <c r="B359" s="673" t="s">
        <v>437</v>
      </c>
      <c r="C359" s="295" t="s">
        <v>1738</v>
      </c>
      <c r="D359" s="297"/>
      <c r="E359" s="320"/>
      <c r="F359" s="320"/>
    </row>
    <row r="360" spans="1:6" ht="24">
      <c r="A360" s="298" t="s">
        <v>1998</v>
      </c>
      <c r="B360" s="672">
        <v>720200200203000</v>
      </c>
      <c r="C360" s="300" t="s">
        <v>436</v>
      </c>
      <c r="D360" s="301"/>
      <c r="E360" s="321"/>
      <c r="F360" s="321"/>
    </row>
    <row r="361" spans="1:6" ht="25.5">
      <c r="A361" s="295" t="s">
        <v>1951</v>
      </c>
      <c r="B361" s="673" t="s">
        <v>439</v>
      </c>
      <c r="C361" s="295" t="s">
        <v>1739</v>
      </c>
      <c r="D361" s="297"/>
      <c r="E361" s="320"/>
      <c r="F361" s="320"/>
    </row>
    <row r="362" spans="1:6" ht="24">
      <c r="A362" s="298" t="s">
        <v>1998</v>
      </c>
      <c r="B362" s="672">
        <v>720200200204000</v>
      </c>
      <c r="C362" s="300" t="s">
        <v>438</v>
      </c>
      <c r="D362" s="301"/>
      <c r="E362" s="321"/>
      <c r="F362" s="321"/>
    </row>
    <row r="363" spans="1:6" ht="25.5">
      <c r="A363" s="295" t="s">
        <v>1951</v>
      </c>
      <c r="B363" s="673" t="s">
        <v>441</v>
      </c>
      <c r="C363" s="295" t="s">
        <v>1740</v>
      </c>
      <c r="D363" s="297"/>
      <c r="E363" s="320"/>
      <c r="F363" s="320"/>
    </row>
    <row r="364" spans="1:6" ht="24">
      <c r="A364" s="298" t="s">
        <v>1998</v>
      </c>
      <c r="B364" s="672">
        <v>720200200205000</v>
      </c>
      <c r="C364" s="300" t="s">
        <v>440</v>
      </c>
      <c r="D364" s="301"/>
      <c r="E364" s="321"/>
      <c r="F364" s="321"/>
    </row>
    <row r="365" spans="1:6" ht="25.5">
      <c r="A365" s="295" t="s">
        <v>1951</v>
      </c>
      <c r="B365" s="673" t="s">
        <v>443</v>
      </c>
      <c r="C365" s="295" t="s">
        <v>1741</v>
      </c>
      <c r="D365" s="297"/>
      <c r="E365" s="320"/>
      <c r="F365" s="320"/>
    </row>
    <row r="366" spans="1:6" ht="24">
      <c r="A366" s="298" t="s">
        <v>1998</v>
      </c>
      <c r="B366" s="672">
        <v>720200200206000</v>
      </c>
      <c r="C366" s="300" t="s">
        <v>442</v>
      </c>
      <c r="D366" s="301"/>
      <c r="E366" s="321">
        <v>321.62</v>
      </c>
      <c r="F366" s="321">
        <v>101.94</v>
      </c>
    </row>
    <row r="367" spans="1:6">
      <c r="A367" s="295" t="s">
        <v>1951</v>
      </c>
      <c r="B367" s="673" t="s">
        <v>445</v>
      </c>
      <c r="C367" s="295" t="s">
        <v>1742</v>
      </c>
      <c r="D367" s="297"/>
      <c r="E367" s="320"/>
      <c r="F367" s="320"/>
    </row>
    <row r="368" spans="1:6">
      <c r="A368" s="298" t="s">
        <v>1998</v>
      </c>
      <c r="B368" s="672">
        <v>720200200209000</v>
      </c>
      <c r="C368" s="300" t="s">
        <v>444</v>
      </c>
      <c r="D368" s="301"/>
      <c r="E368" s="321">
        <f>2638611.57</f>
        <v>2638611.5699999998</v>
      </c>
      <c r="F368" s="321">
        <v>100000</v>
      </c>
    </row>
    <row r="369" spans="1:6">
      <c r="A369" s="295" t="s">
        <v>1948</v>
      </c>
      <c r="B369" s="673" t="s">
        <v>1743</v>
      </c>
      <c r="C369" s="295" t="s">
        <v>2574</v>
      </c>
      <c r="D369" s="297"/>
      <c r="E369" s="320"/>
      <c r="F369" s="320"/>
    </row>
    <row r="370" spans="1:6" ht="25.5">
      <c r="A370" s="295" t="s">
        <v>1950</v>
      </c>
      <c r="B370" s="673" t="s">
        <v>447</v>
      </c>
      <c r="C370" s="295" t="s">
        <v>1745</v>
      </c>
      <c r="D370" s="297" t="s">
        <v>1238</v>
      </c>
      <c r="E370" s="320"/>
      <c r="F370" s="320"/>
    </row>
    <row r="371" spans="1:6" ht="24">
      <c r="A371" s="298" t="s">
        <v>1951</v>
      </c>
      <c r="B371" s="672">
        <v>720200300100000</v>
      </c>
      <c r="C371" s="300" t="s">
        <v>446</v>
      </c>
      <c r="D371" s="301" t="s">
        <v>1238</v>
      </c>
      <c r="E371" s="321"/>
      <c r="F371" s="321"/>
    </row>
    <row r="372" spans="1:6">
      <c r="A372" s="295" t="s">
        <v>1950</v>
      </c>
      <c r="B372" s="673" t="s">
        <v>1746</v>
      </c>
      <c r="C372" s="295" t="s">
        <v>1747</v>
      </c>
      <c r="D372" s="297"/>
      <c r="E372" s="320"/>
      <c r="F372" s="320"/>
    </row>
    <row r="373" spans="1:6" ht="25.5">
      <c r="A373" s="295" t="s">
        <v>1951</v>
      </c>
      <c r="B373" s="673" t="s">
        <v>449</v>
      </c>
      <c r="C373" s="295" t="s">
        <v>1748</v>
      </c>
      <c r="D373" s="297"/>
      <c r="E373" s="320"/>
      <c r="F373" s="320"/>
    </row>
    <row r="374" spans="1:6" ht="24">
      <c r="A374" s="298" t="s">
        <v>1998</v>
      </c>
      <c r="B374" s="672">
        <v>720200300201000</v>
      </c>
      <c r="C374" s="300" t="s">
        <v>448</v>
      </c>
      <c r="D374" s="301"/>
      <c r="E374" s="321"/>
      <c r="F374" s="321"/>
    </row>
    <row r="375" spans="1:6" ht="25.5">
      <c r="A375" s="295" t="s">
        <v>1951</v>
      </c>
      <c r="B375" s="673" t="s">
        <v>451</v>
      </c>
      <c r="C375" s="295" t="s">
        <v>1749</v>
      </c>
      <c r="D375" s="297"/>
      <c r="E375" s="320"/>
      <c r="F375" s="320"/>
    </row>
    <row r="376" spans="1:6">
      <c r="A376" s="298" t="s">
        <v>1998</v>
      </c>
      <c r="B376" s="672">
        <v>720200300202000</v>
      </c>
      <c r="C376" s="300" t="s">
        <v>450</v>
      </c>
      <c r="D376" s="301"/>
      <c r="E376" s="321"/>
      <c r="F376" s="321"/>
    </row>
    <row r="377" spans="1:6" ht="25.5">
      <c r="A377" s="295" t="s">
        <v>1951</v>
      </c>
      <c r="B377" s="673" t="s">
        <v>453</v>
      </c>
      <c r="C377" s="295" t="s">
        <v>1750</v>
      </c>
      <c r="D377" s="297"/>
      <c r="E377" s="320"/>
      <c r="F377" s="320"/>
    </row>
    <row r="378" spans="1:6" ht="24">
      <c r="A378" s="298" t="s">
        <v>1998</v>
      </c>
      <c r="B378" s="672">
        <v>720200300203000</v>
      </c>
      <c r="C378" s="300" t="s">
        <v>452</v>
      </c>
      <c r="D378" s="301"/>
      <c r="E378" s="321"/>
      <c r="F378" s="321"/>
    </row>
    <row r="379" spans="1:6" ht="25.5">
      <c r="A379" s="295" t="s">
        <v>1951</v>
      </c>
      <c r="B379" s="673" t="s">
        <v>455</v>
      </c>
      <c r="C379" s="295" t="s">
        <v>1751</v>
      </c>
      <c r="D379" s="297"/>
      <c r="E379" s="320"/>
      <c r="F379" s="320"/>
    </row>
    <row r="380" spans="1:6" ht="24">
      <c r="A380" s="298" t="s">
        <v>1998</v>
      </c>
      <c r="B380" s="672">
        <v>720200300204000</v>
      </c>
      <c r="C380" s="300" t="s">
        <v>454</v>
      </c>
      <c r="D380" s="301"/>
      <c r="E380" s="321"/>
      <c r="F380" s="321"/>
    </row>
    <row r="381" spans="1:6" ht="25.5">
      <c r="A381" s="295" t="s">
        <v>1951</v>
      </c>
      <c r="B381" s="673" t="s">
        <v>457</v>
      </c>
      <c r="C381" s="295" t="s">
        <v>1752</v>
      </c>
      <c r="D381" s="297"/>
      <c r="E381" s="320"/>
      <c r="F381" s="320"/>
    </row>
    <row r="382" spans="1:6" ht="24">
      <c r="A382" s="298" t="s">
        <v>1998</v>
      </c>
      <c r="B382" s="672">
        <v>720200300205000</v>
      </c>
      <c r="C382" s="300" t="s">
        <v>456</v>
      </c>
      <c r="D382" s="301"/>
      <c r="E382" s="321"/>
      <c r="F382" s="321"/>
    </row>
    <row r="383" spans="1:6" ht="25.5">
      <c r="A383" s="295" t="s">
        <v>1951</v>
      </c>
      <c r="B383" s="673" t="s">
        <v>459</v>
      </c>
      <c r="C383" s="295" t="s">
        <v>1753</v>
      </c>
      <c r="D383" s="297"/>
      <c r="E383" s="320"/>
      <c r="F383" s="320"/>
    </row>
    <row r="384" spans="1:6" ht="24">
      <c r="A384" s="298" t="s">
        <v>1998</v>
      </c>
      <c r="B384" s="672">
        <v>720200300206000</v>
      </c>
      <c r="C384" s="300" t="s">
        <v>458</v>
      </c>
      <c r="D384" s="301"/>
      <c r="E384" s="321"/>
      <c r="F384" s="321"/>
    </row>
    <row r="385" spans="1:186">
      <c r="A385" s="295" t="s">
        <v>1951</v>
      </c>
      <c r="B385" s="673" t="s">
        <v>461</v>
      </c>
      <c r="C385" s="295" t="s">
        <v>1754</v>
      </c>
      <c r="D385" s="297"/>
      <c r="E385" s="320"/>
      <c r="F385" s="320"/>
    </row>
    <row r="386" spans="1:186">
      <c r="A386" s="298" t="s">
        <v>1998</v>
      </c>
      <c r="B386" s="672">
        <v>720200300209000</v>
      </c>
      <c r="C386" s="300" t="s">
        <v>460</v>
      </c>
      <c r="D386" s="301"/>
      <c r="E386" s="321">
        <v>22179.18</v>
      </c>
      <c r="F386" s="321">
        <v>357.54</v>
      </c>
    </row>
    <row r="387" spans="1:186">
      <c r="A387" s="295" t="s">
        <v>1948</v>
      </c>
      <c r="B387" s="673" t="s">
        <v>462</v>
      </c>
      <c r="C387" s="295" t="s">
        <v>1755</v>
      </c>
      <c r="D387" s="297"/>
      <c r="E387" s="320"/>
      <c r="F387" s="320"/>
    </row>
    <row r="388" spans="1:186">
      <c r="A388" s="298" t="s">
        <v>1950</v>
      </c>
      <c r="B388" s="672">
        <v>720200400000000</v>
      </c>
      <c r="C388" s="300" t="s">
        <v>422</v>
      </c>
      <c r="D388" s="301"/>
      <c r="E388" s="321">
        <f>+VLOOKUP(B388,[2]economico!$B$2:$F$262,5,FALSE)</f>
        <v>415.25</v>
      </c>
      <c r="F388" s="321">
        <v>1400.61</v>
      </c>
    </row>
    <row r="389" spans="1:186" s="331" customFormat="1">
      <c r="A389" s="298"/>
      <c r="B389" s="299"/>
      <c r="C389" s="300" t="s">
        <v>1845</v>
      </c>
      <c r="D389" s="301"/>
      <c r="E389" s="321">
        <f>SUM(E7:E388)</f>
        <v>513256834.44999993</v>
      </c>
      <c r="F389" s="321">
        <f>SUM(F7:F388)</f>
        <v>458029248.56000006</v>
      </c>
    </row>
    <row r="390" spans="1:186" s="331" customFormat="1">
      <c r="A390" s="298"/>
      <c r="B390" s="299"/>
      <c r="C390" s="300" t="s">
        <v>2578</v>
      </c>
      <c r="D390" s="301"/>
      <c r="E390" s="321">
        <f>+'10. Alimentazione CE Costi'!E1193</f>
        <v>510381872.98360014</v>
      </c>
      <c r="F390" s="321">
        <f>+'10. Alimentazione CE Costi'!F1193</f>
        <v>456596472.36000007</v>
      </c>
    </row>
    <row r="391" spans="1:186" s="331" customFormat="1">
      <c r="A391" s="298"/>
      <c r="B391" s="299"/>
      <c r="C391" s="300" t="s">
        <v>1805</v>
      </c>
      <c r="D391" s="301"/>
      <c r="E391" s="321">
        <f>+E389-E390</f>
        <v>2874961.4663997889</v>
      </c>
      <c r="F391" s="321">
        <f t="shared" ref="F391" si="0">+F389-F390</f>
        <v>1432776.1999999881</v>
      </c>
    </row>
    <row r="392" spans="1:186">
      <c r="A392" s="135"/>
      <c r="B392" s="135"/>
      <c r="C392" s="51"/>
      <c r="D392" s="52"/>
      <c r="E392" s="47"/>
      <c r="F392" s="47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</row>
    <row r="393" spans="1:186">
      <c r="A393" s="135"/>
      <c r="B393" s="135"/>
      <c r="C393" s="51"/>
      <c r="D393" s="52"/>
      <c r="E393" s="47"/>
      <c r="F393" s="47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</row>
    <row r="394" spans="1:186">
      <c r="A394" s="135"/>
      <c r="B394" s="135"/>
      <c r="C394" s="51"/>
      <c r="D394" s="52"/>
      <c r="E394" s="47"/>
      <c r="F394" s="47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</row>
    <row r="395" spans="1:186">
      <c r="A395" s="135"/>
      <c r="B395" s="135"/>
      <c r="C395" s="51"/>
      <c r="D395" s="52"/>
      <c r="E395" s="47"/>
      <c r="F395" s="47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</row>
    <row r="396" spans="1:186">
      <c r="A396" s="135"/>
      <c r="B396" s="135"/>
      <c r="C396" s="51"/>
      <c r="D396" s="52"/>
      <c r="E396" s="47"/>
      <c r="F396" s="47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</row>
    <row r="397" spans="1:186">
      <c r="A397" s="135"/>
      <c r="B397" s="135"/>
      <c r="C397" s="51"/>
      <c r="D397" s="52"/>
      <c r="E397" s="47"/>
      <c r="F397" s="47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</row>
    <row r="398" spans="1:186">
      <c r="A398" s="135"/>
      <c r="B398" s="135"/>
      <c r="C398" s="51"/>
      <c r="D398" s="52"/>
      <c r="E398" s="47"/>
      <c r="F398" s="47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</row>
    <row r="399" spans="1:186">
      <c r="A399" s="135"/>
      <c r="B399" s="135"/>
      <c r="C399" s="51"/>
      <c r="D399" s="52"/>
      <c r="E399" s="47"/>
      <c r="F399" s="47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</row>
    <row r="400" spans="1:186">
      <c r="A400" s="135"/>
      <c r="B400" s="135"/>
      <c r="C400" s="51"/>
      <c r="D400" s="52"/>
      <c r="E400" s="47"/>
      <c r="F400" s="47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</row>
    <row r="401" spans="1:186">
      <c r="A401" s="135"/>
      <c r="B401" s="135"/>
      <c r="C401" s="51"/>
      <c r="D401" s="52"/>
      <c r="E401" s="47"/>
      <c r="F401" s="47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</row>
    <row r="402" spans="1:186">
      <c r="A402" s="135"/>
      <c r="B402" s="135"/>
      <c r="C402" s="51"/>
      <c r="D402" s="52"/>
      <c r="E402" s="47"/>
      <c r="F402" s="47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</row>
    <row r="403" spans="1:186">
      <c r="A403" s="135"/>
      <c r="B403" s="135"/>
      <c r="C403" s="51"/>
      <c r="D403" s="52"/>
      <c r="E403" s="47"/>
      <c r="F403" s="47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</row>
    <row r="404" spans="1:186">
      <c r="A404" s="135"/>
      <c r="B404" s="135"/>
      <c r="C404" s="51"/>
      <c r="D404" s="52"/>
      <c r="E404" s="47"/>
      <c r="F404" s="47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</row>
    <row r="405" spans="1:186">
      <c r="A405" s="135"/>
      <c r="B405" s="135"/>
      <c r="C405" s="51"/>
      <c r="D405" s="52"/>
      <c r="E405" s="47"/>
      <c r="F405" s="47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</row>
    <row r="406" spans="1:186">
      <c r="A406" s="135"/>
      <c r="B406" s="135"/>
      <c r="C406" s="51"/>
      <c r="D406" s="52"/>
      <c r="E406" s="47"/>
      <c r="F406" s="47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</row>
    <row r="407" spans="1:186">
      <c r="A407" s="135"/>
      <c r="B407" s="135"/>
      <c r="C407" s="51"/>
      <c r="D407" s="52"/>
      <c r="E407" s="47"/>
      <c r="F407" s="47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</row>
    <row r="408" spans="1:186">
      <c r="A408" s="135"/>
      <c r="B408" s="135"/>
      <c r="C408" s="51"/>
      <c r="D408" s="52"/>
      <c r="E408" s="47"/>
      <c r="F408" s="47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</row>
    <row r="409" spans="1:186">
      <c r="A409" s="135"/>
      <c r="B409" s="135"/>
      <c r="C409" s="51"/>
      <c r="D409" s="52"/>
      <c r="E409" s="47"/>
      <c r="F409" s="47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</row>
    <row r="410" spans="1:186">
      <c r="A410" s="135"/>
      <c r="B410" s="135"/>
      <c r="C410" s="51"/>
      <c r="D410" s="52"/>
      <c r="E410" s="47"/>
      <c r="F410" s="47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</row>
    <row r="411" spans="1:186">
      <c r="A411" s="135"/>
      <c r="B411" s="135"/>
      <c r="C411" s="51"/>
      <c r="D411" s="52"/>
      <c r="E411" s="47"/>
      <c r="F411" s="47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</row>
    <row r="412" spans="1:186">
      <c r="A412" s="135"/>
      <c r="B412" s="135"/>
      <c r="C412" s="51"/>
      <c r="D412" s="52"/>
      <c r="E412" s="47"/>
      <c r="F412" s="47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</row>
    <row r="413" spans="1:186">
      <c r="A413" s="135"/>
      <c r="B413" s="135"/>
      <c r="C413" s="51"/>
      <c r="D413" s="52"/>
      <c r="E413" s="47"/>
      <c r="F413" s="47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</row>
    <row r="414" spans="1:186">
      <c r="A414" s="135"/>
      <c r="B414" s="135"/>
      <c r="C414" s="51"/>
      <c r="D414" s="52"/>
      <c r="E414" s="47"/>
      <c r="F414" s="47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</row>
    <row r="415" spans="1:186">
      <c r="A415" s="135"/>
      <c r="B415" s="135"/>
      <c r="C415" s="51"/>
      <c r="D415" s="52"/>
      <c r="E415" s="47"/>
      <c r="F415" s="47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</row>
    <row r="416" spans="1:186">
      <c r="A416" s="135"/>
      <c r="B416" s="135"/>
      <c r="C416" s="51"/>
      <c r="D416" s="52"/>
      <c r="E416" s="47"/>
      <c r="F416" s="47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</row>
    <row r="417" spans="1:186">
      <c r="A417" s="135"/>
      <c r="B417" s="135"/>
      <c r="C417" s="51"/>
      <c r="D417" s="52"/>
      <c r="E417" s="47"/>
      <c r="F417" s="47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</row>
    <row r="418" spans="1:186">
      <c r="A418" s="135"/>
      <c r="B418" s="135"/>
      <c r="C418" s="51"/>
      <c r="D418" s="52"/>
      <c r="E418" s="47"/>
      <c r="F418" s="47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</row>
    <row r="419" spans="1:186">
      <c r="A419" s="135"/>
      <c r="B419" s="135"/>
      <c r="C419" s="51"/>
      <c r="D419" s="52"/>
      <c r="E419" s="47"/>
      <c r="F419" s="47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</row>
    <row r="420" spans="1:186">
      <c r="A420" s="135"/>
      <c r="B420" s="135"/>
      <c r="C420" s="51"/>
      <c r="D420" s="52"/>
      <c r="E420" s="47"/>
      <c r="F420" s="47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</row>
    <row r="421" spans="1:186">
      <c r="A421" s="135"/>
      <c r="B421" s="135"/>
      <c r="C421" s="51"/>
      <c r="D421" s="52"/>
      <c r="E421" s="47"/>
      <c r="F421" s="47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</row>
    <row r="422" spans="1:186">
      <c r="A422" s="135"/>
      <c r="B422" s="135"/>
      <c r="C422" s="51"/>
      <c r="D422" s="52"/>
      <c r="E422" s="47"/>
      <c r="F422" s="47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</row>
    <row r="423" spans="1:186">
      <c r="A423" s="135"/>
      <c r="B423" s="135"/>
      <c r="C423" s="51"/>
      <c r="D423" s="52"/>
      <c r="E423" s="47"/>
      <c r="F423" s="47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</row>
    <row r="424" spans="1:186">
      <c r="A424" s="135"/>
      <c r="B424" s="135"/>
      <c r="C424" s="51"/>
      <c r="D424" s="52"/>
      <c r="E424" s="47"/>
      <c r="F424" s="47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</row>
    <row r="425" spans="1:186">
      <c r="A425" s="135"/>
      <c r="B425" s="135"/>
      <c r="C425" s="51"/>
      <c r="D425" s="52"/>
      <c r="E425" s="47"/>
      <c r="F425" s="47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</row>
    <row r="426" spans="1:186">
      <c r="A426" s="135"/>
      <c r="B426" s="135"/>
      <c r="C426" s="51"/>
      <c r="D426" s="52"/>
      <c r="E426" s="47"/>
      <c r="F426" s="47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</row>
    <row r="427" spans="1:186">
      <c r="A427" s="135"/>
      <c r="B427" s="135"/>
      <c r="C427" s="51"/>
      <c r="D427" s="52"/>
      <c r="E427" s="47"/>
      <c r="F427" s="47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</row>
    <row r="428" spans="1:186">
      <c r="A428" s="135"/>
      <c r="B428" s="135"/>
      <c r="C428" s="51"/>
      <c r="D428" s="52"/>
      <c r="E428" s="47"/>
      <c r="F428" s="47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</row>
    <row r="429" spans="1:186">
      <c r="A429" s="135"/>
      <c r="B429" s="135"/>
      <c r="C429" s="51"/>
      <c r="D429" s="52"/>
      <c r="E429" s="47"/>
      <c r="F429" s="47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</row>
    <row r="430" spans="1:186">
      <c r="A430" s="135"/>
      <c r="B430" s="135"/>
      <c r="C430" s="51"/>
      <c r="D430" s="52"/>
      <c r="E430" s="47"/>
      <c r="F430" s="47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</row>
    <row r="431" spans="1:186">
      <c r="A431" s="135"/>
      <c r="B431" s="135"/>
      <c r="C431" s="51"/>
      <c r="D431" s="52"/>
      <c r="E431" s="47"/>
      <c r="F431" s="47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</row>
    <row r="432" spans="1:186">
      <c r="A432" s="135"/>
      <c r="B432" s="135"/>
      <c r="C432" s="51"/>
      <c r="D432" s="52"/>
      <c r="E432" s="47"/>
      <c r="F432" s="47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</row>
    <row r="433" spans="1:186">
      <c r="A433" s="135"/>
      <c r="B433" s="135"/>
      <c r="C433" s="51"/>
      <c r="D433" s="52"/>
      <c r="E433" s="47"/>
      <c r="F433" s="47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</row>
    <row r="434" spans="1:186">
      <c r="A434" s="135"/>
      <c r="B434" s="135"/>
      <c r="C434" s="51"/>
      <c r="D434" s="52"/>
      <c r="E434" s="47"/>
      <c r="F434" s="47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</row>
    <row r="435" spans="1:186">
      <c r="A435" s="135"/>
      <c r="B435" s="135"/>
      <c r="C435" s="51"/>
      <c r="D435" s="52"/>
      <c r="E435" s="47"/>
      <c r="F435" s="47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</row>
    <row r="436" spans="1:186">
      <c r="A436" s="135"/>
      <c r="B436" s="135"/>
      <c r="C436" s="51"/>
      <c r="D436" s="52"/>
      <c r="E436" s="47"/>
      <c r="F436" s="47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</row>
    <row r="437" spans="1:186">
      <c r="A437" s="135"/>
      <c r="B437" s="135"/>
      <c r="C437" s="51"/>
      <c r="D437" s="52"/>
      <c r="E437" s="47"/>
      <c r="F437" s="47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</row>
    <row r="438" spans="1:186">
      <c r="A438" s="135"/>
      <c r="B438" s="135"/>
      <c r="C438" s="51"/>
      <c r="D438" s="52"/>
      <c r="E438" s="47"/>
      <c r="F438" s="47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</row>
    <row r="439" spans="1:186">
      <c r="A439" s="135"/>
      <c r="B439" s="135"/>
      <c r="C439" s="51"/>
      <c r="D439" s="52"/>
      <c r="E439" s="47"/>
      <c r="F439" s="47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</row>
    <row r="440" spans="1:186">
      <c r="A440" s="135"/>
      <c r="B440" s="135"/>
      <c r="C440" s="51"/>
      <c r="D440" s="52"/>
      <c r="E440" s="47"/>
      <c r="F440" s="47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</row>
    <row r="441" spans="1:186">
      <c r="A441" s="135"/>
      <c r="B441" s="135"/>
      <c r="C441" s="51"/>
      <c r="D441" s="52"/>
      <c r="E441" s="47"/>
      <c r="F441" s="47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</row>
    <row r="442" spans="1:186">
      <c r="A442" s="135"/>
      <c r="B442" s="135"/>
      <c r="C442" s="51"/>
      <c r="D442" s="52"/>
      <c r="E442" s="47"/>
      <c r="F442" s="47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</row>
    <row r="443" spans="1:186">
      <c r="A443" s="135"/>
      <c r="B443" s="135"/>
      <c r="C443" s="51"/>
      <c r="D443" s="52"/>
      <c r="E443" s="47"/>
      <c r="F443" s="47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</row>
    <row r="444" spans="1:186">
      <c r="A444" s="135"/>
      <c r="B444" s="135"/>
      <c r="C444" s="51"/>
      <c r="D444" s="52"/>
      <c r="E444" s="47"/>
      <c r="F444" s="47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</row>
    <row r="445" spans="1:186">
      <c r="A445" s="135"/>
      <c r="B445" s="135"/>
      <c r="C445" s="51"/>
      <c r="D445" s="52"/>
      <c r="E445" s="47"/>
      <c r="F445" s="47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</row>
    <row r="446" spans="1:186">
      <c r="A446" s="135"/>
      <c r="B446" s="135"/>
      <c r="C446" s="51"/>
      <c r="D446" s="52"/>
      <c r="E446" s="47"/>
      <c r="F446" s="47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</row>
    <row r="447" spans="1:186">
      <c r="A447" s="135"/>
      <c r="B447" s="135"/>
      <c r="C447" s="51"/>
      <c r="D447" s="52"/>
      <c r="E447" s="47"/>
      <c r="F447" s="47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</row>
    <row r="448" spans="1:186">
      <c r="A448" s="135"/>
      <c r="B448" s="135"/>
      <c r="C448" s="51"/>
      <c r="D448" s="52"/>
      <c r="E448" s="47"/>
      <c r="F448" s="47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</row>
    <row r="449" spans="1:186">
      <c r="A449" s="135"/>
      <c r="B449" s="135"/>
      <c r="C449" s="51"/>
      <c r="D449" s="52"/>
      <c r="E449" s="47"/>
      <c r="F449" s="47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</row>
    <row r="450" spans="1:186">
      <c r="A450" s="135"/>
      <c r="B450" s="135"/>
      <c r="C450" s="51"/>
      <c r="D450" s="52"/>
      <c r="E450" s="47"/>
      <c r="F450" s="47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</row>
    <row r="451" spans="1:186">
      <c r="A451" s="135"/>
      <c r="B451" s="135"/>
      <c r="C451" s="51"/>
      <c r="D451" s="52"/>
      <c r="E451" s="47"/>
      <c r="F451" s="47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</row>
    <row r="452" spans="1:186">
      <c r="A452" s="135"/>
      <c r="B452" s="135"/>
      <c r="C452" s="51"/>
      <c r="D452" s="52"/>
      <c r="E452" s="47"/>
      <c r="F452" s="47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</row>
    <row r="453" spans="1:186">
      <c r="A453" s="135"/>
      <c r="B453" s="135"/>
      <c r="C453" s="51"/>
      <c r="D453" s="52"/>
      <c r="E453" s="47"/>
      <c r="F453" s="47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</row>
    <row r="454" spans="1:186">
      <c r="A454" s="135"/>
      <c r="B454" s="135"/>
      <c r="C454" s="51"/>
      <c r="D454" s="52"/>
      <c r="E454" s="47"/>
      <c r="F454" s="47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</row>
    <row r="455" spans="1:186">
      <c r="A455" s="135"/>
      <c r="B455" s="135"/>
      <c r="C455" s="51"/>
      <c r="D455" s="52"/>
      <c r="E455" s="47"/>
      <c r="F455" s="47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</row>
    <row r="456" spans="1:186">
      <c r="A456" s="135"/>
      <c r="B456" s="135"/>
      <c r="C456" s="51"/>
      <c r="D456" s="52"/>
      <c r="E456" s="47"/>
      <c r="F456" s="47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</row>
    <row r="457" spans="1:186">
      <c r="A457" s="135"/>
      <c r="B457" s="135"/>
      <c r="C457" s="51"/>
      <c r="D457" s="52"/>
      <c r="E457" s="47"/>
      <c r="F457" s="47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</row>
    <row r="458" spans="1:186">
      <c r="A458" s="135"/>
      <c r="B458" s="135"/>
      <c r="C458" s="51"/>
      <c r="D458" s="52"/>
      <c r="E458" s="47"/>
      <c r="F458" s="47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</row>
    <row r="459" spans="1:186">
      <c r="A459" s="135"/>
      <c r="B459" s="135"/>
      <c r="C459" s="51"/>
      <c r="D459" s="52"/>
      <c r="E459" s="47"/>
      <c r="F459" s="47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</row>
    <row r="460" spans="1:186">
      <c r="A460" s="135"/>
      <c r="B460" s="135"/>
      <c r="C460" s="51"/>
      <c r="D460" s="52"/>
      <c r="E460" s="47"/>
      <c r="F460" s="47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</row>
    <row r="461" spans="1:186">
      <c r="A461" s="135"/>
      <c r="B461" s="135"/>
      <c r="C461" s="51"/>
      <c r="D461" s="52"/>
      <c r="E461" s="47"/>
      <c r="F461" s="47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</row>
    <row r="462" spans="1:186">
      <c r="A462" s="135"/>
      <c r="B462" s="135"/>
      <c r="C462" s="51"/>
      <c r="D462" s="52"/>
      <c r="E462" s="47"/>
      <c r="F462" s="47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</row>
    <row r="463" spans="1:186">
      <c r="A463" s="135"/>
      <c r="B463" s="135"/>
      <c r="C463" s="51"/>
      <c r="D463" s="52"/>
      <c r="E463" s="47"/>
      <c r="F463" s="47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</row>
    <row r="464" spans="1:186">
      <c r="A464" s="135"/>
      <c r="B464" s="135"/>
      <c r="C464" s="51"/>
      <c r="D464" s="52"/>
      <c r="E464" s="47"/>
      <c r="F464" s="47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</row>
    <row r="465" spans="1:186">
      <c r="A465" s="135"/>
      <c r="B465" s="135"/>
      <c r="C465" s="51"/>
      <c r="D465" s="52"/>
      <c r="E465" s="47"/>
      <c r="F465" s="47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</row>
    <row r="466" spans="1:186">
      <c r="A466" s="135"/>
      <c r="B466" s="135"/>
      <c r="C466" s="51"/>
      <c r="D466" s="52"/>
      <c r="E466" s="47"/>
      <c r="F466" s="47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</row>
    <row r="467" spans="1:186">
      <c r="A467" s="135"/>
      <c r="B467" s="135"/>
      <c r="C467" s="51"/>
      <c r="D467" s="52"/>
      <c r="E467" s="47"/>
      <c r="F467" s="47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</row>
    <row r="468" spans="1:186">
      <c r="A468" s="135"/>
      <c r="B468" s="135"/>
      <c r="C468" s="51"/>
      <c r="D468" s="52"/>
      <c r="E468" s="47"/>
      <c r="F468" s="47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</row>
    <row r="469" spans="1:186">
      <c r="A469" s="135"/>
      <c r="B469" s="135"/>
      <c r="C469" s="51"/>
      <c r="D469" s="52"/>
      <c r="E469" s="47"/>
      <c r="F469" s="47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</row>
    <row r="470" spans="1:186">
      <c r="A470" s="135"/>
      <c r="B470" s="135"/>
      <c r="C470" s="51"/>
      <c r="D470" s="52"/>
      <c r="E470" s="47"/>
      <c r="F470" s="47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</row>
    <row r="471" spans="1:186">
      <c r="A471" s="135"/>
      <c r="B471" s="135"/>
      <c r="C471" s="51"/>
      <c r="D471" s="52"/>
      <c r="E471" s="47"/>
      <c r="F471" s="47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</row>
    <row r="472" spans="1:186">
      <c r="A472" s="135"/>
      <c r="B472" s="135"/>
      <c r="C472" s="51"/>
      <c r="D472" s="52"/>
      <c r="E472" s="47"/>
      <c r="F472" s="47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</row>
    <row r="473" spans="1:186">
      <c r="A473" s="135"/>
      <c r="B473" s="135"/>
      <c r="C473" s="51"/>
      <c r="D473" s="52"/>
      <c r="E473" s="47"/>
      <c r="F473" s="47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</row>
    <row r="474" spans="1:186">
      <c r="A474" s="135"/>
      <c r="B474" s="135"/>
      <c r="C474" s="51"/>
      <c r="D474" s="52"/>
      <c r="E474" s="47"/>
      <c r="F474" s="47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</row>
    <row r="475" spans="1:186">
      <c r="A475" s="135"/>
      <c r="B475" s="135"/>
      <c r="C475" s="51"/>
      <c r="D475" s="52"/>
      <c r="E475" s="47"/>
      <c r="F475" s="47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</row>
    <row r="476" spans="1:186">
      <c r="A476" s="135"/>
      <c r="B476" s="135"/>
      <c r="C476" s="51"/>
      <c r="D476" s="52"/>
      <c r="E476" s="47"/>
      <c r="F476" s="47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</row>
    <row r="477" spans="1:186">
      <c r="A477" s="135"/>
      <c r="B477" s="135"/>
      <c r="C477" s="51"/>
      <c r="D477" s="52"/>
      <c r="E477" s="47"/>
      <c r="F477" s="47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</row>
    <row r="478" spans="1:186">
      <c r="A478" s="135"/>
      <c r="B478" s="135"/>
      <c r="C478" s="51"/>
      <c r="D478" s="52"/>
      <c r="E478" s="47"/>
      <c r="F478" s="47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</row>
    <row r="479" spans="1:186">
      <c r="A479" s="135"/>
      <c r="B479" s="135"/>
      <c r="C479" s="51"/>
      <c r="D479" s="52"/>
      <c r="E479" s="47"/>
      <c r="F479" s="47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</row>
    <row r="480" spans="1:186">
      <c r="A480" s="135"/>
      <c r="B480" s="135"/>
      <c r="C480" s="51"/>
      <c r="D480" s="52"/>
      <c r="E480" s="47"/>
      <c r="F480" s="47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</row>
    <row r="481" spans="1:186">
      <c r="A481" s="135"/>
      <c r="B481" s="135"/>
      <c r="C481" s="51"/>
      <c r="D481" s="52"/>
      <c r="E481" s="47"/>
      <c r="F481" s="47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</row>
    <row r="482" spans="1:186">
      <c r="A482" s="135"/>
      <c r="B482" s="135"/>
      <c r="C482" s="51"/>
      <c r="D482" s="52"/>
      <c r="E482" s="47"/>
      <c r="F482" s="47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</row>
    <row r="483" spans="1:186">
      <c r="A483" s="135"/>
      <c r="B483" s="135"/>
      <c r="C483" s="51"/>
      <c r="D483" s="52"/>
      <c r="E483" s="47"/>
      <c r="F483" s="47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</row>
    <row r="484" spans="1:186">
      <c r="A484" s="135"/>
      <c r="B484" s="135"/>
      <c r="C484" s="51"/>
      <c r="D484" s="52"/>
      <c r="E484" s="47"/>
      <c r="F484" s="47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</row>
    <row r="485" spans="1:186">
      <c r="A485" s="135"/>
      <c r="B485" s="135"/>
      <c r="C485" s="51"/>
      <c r="D485" s="52"/>
      <c r="E485" s="47"/>
      <c r="F485" s="47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</row>
    <row r="486" spans="1:186">
      <c r="A486" s="135"/>
      <c r="B486" s="135"/>
      <c r="C486" s="51"/>
      <c r="D486" s="52"/>
      <c r="E486" s="47"/>
      <c r="F486" s="47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</row>
    <row r="487" spans="1:186">
      <c r="A487" s="135"/>
      <c r="B487" s="135"/>
      <c r="C487" s="51"/>
      <c r="D487" s="52"/>
      <c r="E487" s="47"/>
      <c r="F487" s="47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</row>
    <row r="488" spans="1:186">
      <c r="A488" s="135"/>
      <c r="B488" s="135"/>
      <c r="C488" s="51"/>
      <c r="D488" s="52"/>
      <c r="E488" s="47"/>
      <c r="F488" s="47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</row>
    <row r="489" spans="1:186">
      <c r="A489" s="135"/>
      <c r="B489" s="135"/>
      <c r="C489" s="51"/>
      <c r="D489" s="52"/>
      <c r="E489" s="47"/>
      <c r="F489" s="47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</row>
    <row r="490" spans="1:186">
      <c r="A490" s="135"/>
      <c r="B490" s="135"/>
      <c r="C490" s="51"/>
      <c r="D490" s="52"/>
      <c r="E490" s="47"/>
      <c r="F490" s="47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</row>
    <row r="491" spans="1:186">
      <c r="A491" s="135"/>
      <c r="B491" s="135"/>
      <c r="C491" s="51"/>
      <c r="D491" s="52"/>
      <c r="E491" s="47"/>
      <c r="F491" s="47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</row>
    <row r="492" spans="1:186">
      <c r="A492" s="135"/>
      <c r="B492" s="135"/>
      <c r="C492" s="51"/>
      <c r="D492" s="52"/>
      <c r="E492" s="47"/>
      <c r="F492" s="47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</row>
    <row r="493" spans="1:186">
      <c r="A493" s="135"/>
      <c r="B493" s="135"/>
      <c r="C493" s="51"/>
      <c r="D493" s="52"/>
      <c r="E493" s="47"/>
      <c r="F493" s="47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</row>
    <row r="494" spans="1:186">
      <c r="A494" s="135"/>
      <c r="B494" s="135"/>
      <c r="C494" s="51"/>
      <c r="D494" s="52"/>
      <c r="E494" s="47"/>
      <c r="F494" s="47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</row>
    <row r="495" spans="1:186">
      <c r="A495" s="135"/>
      <c r="B495" s="135"/>
      <c r="C495" s="51"/>
      <c r="D495" s="52"/>
      <c r="E495" s="47"/>
      <c r="F495" s="47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</row>
    <row r="496" spans="1:186">
      <c r="A496" s="135"/>
      <c r="B496" s="135"/>
      <c r="C496" s="51"/>
      <c r="D496" s="52"/>
      <c r="E496" s="47"/>
      <c r="F496" s="47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</row>
    <row r="497" spans="1:186">
      <c r="A497" s="135"/>
      <c r="B497" s="135"/>
      <c r="C497" s="51"/>
      <c r="D497" s="52"/>
      <c r="E497" s="47"/>
      <c r="F497" s="47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</row>
    <row r="498" spans="1:186">
      <c r="A498" s="135"/>
      <c r="B498" s="135"/>
      <c r="C498" s="51"/>
      <c r="D498" s="52"/>
      <c r="E498" s="47"/>
      <c r="F498" s="47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</row>
    <row r="499" spans="1:186">
      <c r="A499" s="135"/>
      <c r="B499" s="135"/>
      <c r="C499" s="51"/>
      <c r="D499" s="52"/>
      <c r="E499" s="47"/>
      <c r="F499" s="47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</row>
    <row r="500" spans="1:186">
      <c r="A500" s="135"/>
      <c r="B500" s="135"/>
      <c r="C500" s="51"/>
      <c r="D500" s="52"/>
      <c r="E500" s="47"/>
      <c r="F500" s="47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</row>
    <row r="501" spans="1:186">
      <c r="A501" s="135"/>
      <c r="B501" s="135"/>
      <c r="C501" s="51"/>
      <c r="D501" s="52"/>
      <c r="E501" s="47"/>
      <c r="F501" s="47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</row>
    <row r="502" spans="1:186">
      <c r="A502" s="135"/>
      <c r="B502" s="135"/>
      <c r="C502" s="51"/>
      <c r="D502" s="52"/>
      <c r="E502" s="47"/>
      <c r="F502" s="47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</row>
    <row r="503" spans="1:186">
      <c r="A503" s="135"/>
      <c r="B503" s="135"/>
      <c r="C503" s="51"/>
      <c r="D503" s="52"/>
      <c r="E503" s="47"/>
      <c r="F503" s="47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</row>
    <row r="504" spans="1:186">
      <c r="A504" s="135"/>
      <c r="B504" s="135"/>
      <c r="C504" s="51"/>
      <c r="D504" s="52"/>
      <c r="E504" s="47"/>
      <c r="F504" s="47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</row>
    <row r="505" spans="1:186">
      <c r="A505" s="135"/>
      <c r="B505" s="135"/>
      <c r="C505" s="51"/>
      <c r="D505" s="52"/>
      <c r="E505" s="47"/>
      <c r="F505" s="47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</row>
    <row r="506" spans="1:186">
      <c r="A506" s="135"/>
      <c r="B506" s="135"/>
      <c r="C506" s="51"/>
      <c r="D506" s="52"/>
      <c r="E506" s="47"/>
      <c r="F506" s="47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</row>
    <row r="507" spans="1:186">
      <c r="A507" s="135"/>
      <c r="B507" s="135"/>
      <c r="C507" s="51"/>
      <c r="D507" s="52"/>
      <c r="E507" s="47"/>
      <c r="F507" s="47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</row>
    <row r="508" spans="1:186">
      <c r="A508" s="135"/>
      <c r="B508" s="135"/>
      <c r="C508" s="51"/>
      <c r="D508" s="52"/>
      <c r="E508" s="47"/>
      <c r="F508" s="47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</row>
    <row r="509" spans="1:186">
      <c r="A509" s="135"/>
      <c r="B509" s="135"/>
      <c r="C509" s="51"/>
      <c r="D509" s="52"/>
      <c r="E509" s="47"/>
      <c r="F509" s="47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</row>
    <row r="510" spans="1:186">
      <c r="A510" s="135"/>
      <c r="B510" s="135"/>
      <c r="C510" s="51"/>
      <c r="D510" s="52"/>
      <c r="E510" s="47"/>
      <c r="F510" s="47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</row>
    <row r="511" spans="1:186">
      <c r="A511" s="135"/>
      <c r="B511" s="135"/>
      <c r="C511" s="51"/>
      <c r="D511" s="52"/>
      <c r="E511" s="47"/>
      <c r="F511" s="47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</row>
    <row r="512" spans="1:186">
      <c r="A512" s="135"/>
      <c r="B512" s="135"/>
      <c r="C512" s="51"/>
      <c r="D512" s="52"/>
      <c r="E512" s="47"/>
      <c r="F512" s="47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</row>
    <row r="513" spans="1:186">
      <c r="A513" s="135"/>
      <c r="B513" s="135"/>
      <c r="C513" s="51"/>
      <c r="D513" s="52"/>
      <c r="E513" s="47"/>
      <c r="F513" s="47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</row>
    <row r="514" spans="1:186">
      <c r="A514" s="135"/>
      <c r="B514" s="135"/>
      <c r="C514" s="51"/>
      <c r="D514" s="52"/>
      <c r="E514" s="47"/>
      <c r="F514" s="47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</row>
    <row r="515" spans="1:186">
      <c r="A515" s="135"/>
      <c r="B515" s="135"/>
      <c r="C515" s="51"/>
      <c r="D515" s="52"/>
      <c r="E515" s="47"/>
      <c r="F515" s="47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</row>
    <row r="516" spans="1:186">
      <c r="A516" s="135"/>
      <c r="B516" s="135"/>
      <c r="C516" s="51"/>
      <c r="D516" s="52"/>
      <c r="E516" s="47"/>
      <c r="F516" s="47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</row>
    <row r="517" spans="1:186">
      <c r="A517" s="135"/>
      <c r="B517" s="135"/>
      <c r="C517" s="51"/>
      <c r="D517" s="52"/>
      <c r="E517" s="47"/>
      <c r="F517" s="47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</row>
    <row r="518" spans="1:186">
      <c r="A518" s="135"/>
      <c r="B518" s="135"/>
      <c r="C518" s="51"/>
      <c r="D518" s="52"/>
      <c r="E518" s="47"/>
      <c r="F518" s="47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</row>
    <row r="519" spans="1:186">
      <c r="A519" s="135"/>
      <c r="B519" s="135"/>
      <c r="C519" s="51"/>
      <c r="D519" s="52"/>
      <c r="E519" s="47"/>
      <c r="F519" s="47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</row>
    <row r="520" spans="1:186">
      <c r="A520" s="135"/>
      <c r="B520" s="135"/>
      <c r="C520" s="51"/>
      <c r="D520" s="52"/>
      <c r="E520" s="47"/>
      <c r="F520" s="47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</row>
    <row r="521" spans="1:186">
      <c r="A521" s="135"/>
      <c r="B521" s="135"/>
      <c r="C521" s="51"/>
      <c r="D521" s="52"/>
      <c r="E521" s="47"/>
      <c r="F521" s="47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</row>
    <row r="522" spans="1:186">
      <c r="A522" s="135"/>
      <c r="B522" s="135"/>
      <c r="C522" s="51"/>
      <c r="D522" s="52"/>
      <c r="E522" s="47"/>
      <c r="F522" s="47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</row>
    <row r="523" spans="1:186">
      <c r="A523" s="135"/>
      <c r="B523" s="135"/>
      <c r="C523" s="51"/>
      <c r="D523" s="52"/>
      <c r="E523" s="47"/>
      <c r="F523" s="47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</row>
    <row r="524" spans="1:186">
      <c r="A524" s="135"/>
      <c r="B524" s="135"/>
      <c r="C524" s="51"/>
      <c r="D524" s="52"/>
      <c r="E524" s="47"/>
      <c r="F524" s="47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</row>
    <row r="525" spans="1:186">
      <c r="A525" s="135"/>
      <c r="B525" s="135"/>
      <c r="C525" s="51"/>
      <c r="D525" s="52"/>
      <c r="E525" s="47"/>
      <c r="F525" s="47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</row>
    <row r="526" spans="1:186">
      <c r="A526" s="135"/>
      <c r="B526" s="135"/>
      <c r="C526" s="51"/>
      <c r="D526" s="52"/>
      <c r="E526" s="47"/>
      <c r="F526" s="47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</row>
    <row r="527" spans="1:186">
      <c r="A527" s="135"/>
      <c r="B527" s="135"/>
      <c r="C527" s="51"/>
      <c r="D527" s="52"/>
      <c r="E527" s="47"/>
      <c r="F527" s="47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</row>
    <row r="528" spans="1:186">
      <c r="A528" s="135"/>
      <c r="B528" s="135"/>
      <c r="C528" s="51"/>
      <c r="D528" s="52"/>
      <c r="E528" s="47"/>
      <c r="F528" s="47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</row>
    <row r="529" spans="1:186">
      <c r="A529" s="135"/>
      <c r="B529" s="135"/>
      <c r="C529" s="51"/>
      <c r="D529" s="52"/>
      <c r="E529" s="47"/>
      <c r="F529" s="47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</row>
    <row r="530" spans="1:186">
      <c r="A530" s="135"/>
      <c r="B530" s="135"/>
      <c r="C530" s="51"/>
      <c r="D530" s="52"/>
      <c r="E530" s="47"/>
      <c r="F530" s="47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</row>
    <row r="531" spans="1:186">
      <c r="A531" s="135"/>
      <c r="B531" s="135"/>
      <c r="C531" s="51"/>
      <c r="D531" s="52"/>
      <c r="E531" s="47"/>
      <c r="F531" s="47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</row>
    <row r="532" spans="1:186">
      <c r="A532" s="135"/>
      <c r="B532" s="135"/>
      <c r="C532" s="51"/>
      <c r="D532" s="52"/>
      <c r="E532" s="47"/>
      <c r="F532" s="47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</row>
    <row r="533" spans="1:186">
      <c r="A533" s="135"/>
      <c r="B533" s="135"/>
      <c r="C533" s="51"/>
      <c r="D533" s="52"/>
      <c r="E533" s="47"/>
      <c r="F533" s="47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</row>
    <row r="534" spans="1:186">
      <c r="A534" s="135"/>
      <c r="B534" s="135"/>
      <c r="C534" s="51"/>
      <c r="D534" s="52"/>
      <c r="E534" s="47"/>
      <c r="F534" s="47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</row>
    <row r="535" spans="1:186">
      <c r="A535" s="135"/>
      <c r="B535" s="135"/>
      <c r="C535" s="51"/>
      <c r="D535" s="52"/>
      <c r="E535" s="47"/>
      <c r="F535" s="47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</row>
    <row r="536" spans="1:186">
      <c r="A536" s="135"/>
      <c r="B536" s="135"/>
      <c r="C536" s="51"/>
      <c r="D536" s="52"/>
      <c r="E536" s="47"/>
      <c r="F536" s="47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</row>
    <row r="537" spans="1:186">
      <c r="A537" s="135"/>
      <c r="B537" s="135"/>
      <c r="C537" s="51"/>
      <c r="D537" s="52"/>
      <c r="E537" s="47"/>
      <c r="F537" s="47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</row>
    <row r="538" spans="1:186">
      <c r="A538" s="135"/>
      <c r="B538" s="135"/>
      <c r="C538" s="51"/>
      <c r="D538" s="52"/>
      <c r="E538" s="47"/>
      <c r="F538" s="47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</row>
    <row r="539" spans="1:186">
      <c r="A539" s="135"/>
      <c r="B539" s="135"/>
      <c r="C539" s="51"/>
      <c r="D539" s="52"/>
      <c r="E539" s="47"/>
      <c r="F539" s="47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</row>
    <row r="540" spans="1:186">
      <c r="A540" s="135"/>
      <c r="B540" s="135"/>
      <c r="C540" s="51"/>
      <c r="D540" s="52"/>
      <c r="E540" s="47"/>
      <c r="F540" s="47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</row>
    <row r="541" spans="1:186">
      <c r="A541" s="135"/>
      <c r="B541" s="135"/>
      <c r="C541" s="51"/>
      <c r="D541" s="52"/>
      <c r="E541" s="47"/>
      <c r="F541" s="47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</row>
    <row r="542" spans="1:186">
      <c r="A542" s="135"/>
      <c r="B542" s="135"/>
      <c r="C542" s="51"/>
      <c r="D542" s="52"/>
      <c r="E542" s="47"/>
      <c r="F542" s="47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</row>
    <row r="543" spans="1:186">
      <c r="A543" s="135"/>
      <c r="B543" s="135"/>
      <c r="C543" s="51"/>
      <c r="D543" s="52"/>
      <c r="E543" s="47"/>
      <c r="F543" s="47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</row>
    <row r="544" spans="1:186">
      <c r="A544" s="135"/>
      <c r="B544" s="135"/>
      <c r="C544" s="51"/>
      <c r="D544" s="52"/>
      <c r="E544" s="47"/>
      <c r="F544" s="47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</row>
    <row r="545" spans="1:186">
      <c r="A545" s="135"/>
      <c r="B545" s="135"/>
      <c r="C545" s="51"/>
      <c r="D545" s="52"/>
      <c r="E545" s="47"/>
      <c r="F545" s="47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</row>
    <row r="546" spans="1:186">
      <c r="A546" s="135"/>
      <c r="B546" s="135"/>
      <c r="C546" s="51"/>
      <c r="D546" s="52"/>
      <c r="E546" s="47"/>
      <c r="F546" s="47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</row>
    <row r="547" spans="1:186">
      <c r="A547" s="135"/>
      <c r="B547" s="135"/>
      <c r="C547" s="51"/>
      <c r="D547" s="52"/>
      <c r="E547" s="47"/>
      <c r="F547" s="47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</row>
    <row r="548" spans="1:186">
      <c r="A548" s="135"/>
      <c r="B548" s="135"/>
      <c r="C548" s="51"/>
      <c r="D548" s="52"/>
      <c r="E548" s="47"/>
      <c r="F548" s="47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</row>
    <row r="549" spans="1:186">
      <c r="A549" s="135"/>
      <c r="B549" s="135"/>
      <c r="C549" s="51"/>
      <c r="D549" s="52"/>
      <c r="E549" s="47"/>
      <c r="F549" s="47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</row>
    <row r="550" spans="1:186">
      <c r="A550" s="135"/>
      <c r="B550" s="135"/>
      <c r="C550" s="51"/>
      <c r="D550" s="52"/>
      <c r="E550" s="47"/>
      <c r="F550" s="47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</row>
    <row r="551" spans="1:186">
      <c r="A551" s="135"/>
      <c r="B551" s="135"/>
      <c r="C551" s="51"/>
      <c r="D551" s="52"/>
      <c r="E551" s="47"/>
      <c r="F551" s="47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</row>
    <row r="552" spans="1:186">
      <c r="A552" s="135"/>
      <c r="B552" s="135"/>
      <c r="C552" s="51"/>
      <c r="D552" s="52"/>
      <c r="E552" s="47"/>
      <c r="F552" s="47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</row>
    <row r="553" spans="1:186">
      <c r="A553" s="135"/>
      <c r="B553" s="135"/>
      <c r="C553" s="51"/>
      <c r="D553" s="52"/>
      <c r="E553" s="47"/>
      <c r="F553" s="47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</row>
    <row r="554" spans="1:186">
      <c r="A554" s="135"/>
      <c r="B554" s="135"/>
      <c r="C554" s="51"/>
      <c r="D554" s="52"/>
      <c r="E554" s="47"/>
      <c r="F554" s="47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</row>
    <row r="555" spans="1:186">
      <c r="A555" s="135"/>
      <c r="B555" s="135"/>
      <c r="C555" s="51"/>
      <c r="D555" s="52"/>
      <c r="E555" s="47"/>
      <c r="F555" s="47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</row>
    <row r="556" spans="1:186">
      <c r="A556" s="135"/>
      <c r="B556" s="135"/>
      <c r="C556" s="51"/>
      <c r="D556" s="52"/>
      <c r="E556" s="47"/>
      <c r="F556" s="47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</row>
    <row r="557" spans="1:186">
      <c r="A557" s="135"/>
      <c r="B557" s="135"/>
      <c r="C557" s="51"/>
      <c r="D557" s="52"/>
      <c r="E557" s="47"/>
      <c r="F557" s="47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</row>
    <row r="558" spans="1:186">
      <c r="A558" s="135"/>
      <c r="B558" s="135"/>
      <c r="C558" s="51"/>
      <c r="D558" s="52"/>
      <c r="E558" s="47"/>
      <c r="F558" s="47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</row>
    <row r="559" spans="1:186">
      <c r="A559" s="135"/>
      <c r="B559" s="135"/>
      <c r="C559" s="51"/>
      <c r="D559" s="52"/>
      <c r="E559" s="47"/>
      <c r="F559" s="47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</row>
    <row r="560" spans="1:186">
      <c r="A560" s="135"/>
      <c r="B560" s="135"/>
      <c r="C560" s="51"/>
      <c r="D560" s="52"/>
      <c r="E560" s="47"/>
      <c r="F560" s="47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</row>
    <row r="561" spans="1:186">
      <c r="A561" s="135"/>
      <c r="B561" s="135"/>
      <c r="C561" s="51"/>
      <c r="D561" s="52"/>
      <c r="E561" s="47"/>
      <c r="F561" s="47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</row>
    <row r="562" spans="1:186">
      <c r="A562" s="135"/>
      <c r="B562" s="135"/>
      <c r="C562" s="51"/>
      <c r="D562" s="52"/>
      <c r="E562" s="47"/>
      <c r="F562" s="47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</row>
    <row r="563" spans="1:186">
      <c r="A563" s="135"/>
      <c r="B563" s="135"/>
      <c r="C563" s="51"/>
      <c r="D563" s="52"/>
      <c r="E563" s="47"/>
      <c r="F563" s="47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</row>
    <row r="564" spans="1:186">
      <c r="A564" s="135"/>
      <c r="B564" s="135"/>
      <c r="C564" s="51"/>
      <c r="D564" s="52"/>
      <c r="E564" s="47"/>
      <c r="F564" s="47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</row>
    <row r="565" spans="1:186">
      <c r="A565" s="135"/>
      <c r="B565" s="135"/>
      <c r="C565" s="51"/>
      <c r="D565" s="52"/>
      <c r="E565" s="47"/>
      <c r="F565" s="47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</row>
    <row r="566" spans="1:186">
      <c r="A566" s="135"/>
      <c r="B566" s="135"/>
      <c r="C566" s="51"/>
      <c r="D566" s="52"/>
      <c r="E566" s="47"/>
      <c r="F566" s="47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</row>
    <row r="567" spans="1:186">
      <c r="A567" s="135"/>
      <c r="B567" s="135"/>
      <c r="C567" s="51"/>
      <c r="D567" s="52"/>
      <c r="E567" s="47"/>
      <c r="F567" s="47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</row>
    <row r="568" spans="1:186">
      <c r="A568" s="135"/>
      <c r="B568" s="135"/>
      <c r="C568" s="51"/>
      <c r="D568" s="52"/>
      <c r="E568" s="47"/>
      <c r="F568" s="47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</row>
    <row r="569" spans="1:186">
      <c r="A569" s="135"/>
      <c r="B569" s="135"/>
      <c r="C569" s="51"/>
      <c r="D569" s="52"/>
      <c r="E569" s="47"/>
      <c r="F569" s="47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</row>
    <row r="570" spans="1:186">
      <c r="A570" s="135"/>
      <c r="B570" s="135"/>
      <c r="C570" s="51"/>
      <c r="D570" s="52"/>
      <c r="E570" s="47"/>
      <c r="F570" s="47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</row>
    <row r="571" spans="1:186">
      <c r="A571" s="135"/>
      <c r="B571" s="135"/>
      <c r="C571" s="51"/>
      <c r="D571" s="52"/>
      <c r="E571" s="47"/>
      <c r="F571" s="47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</row>
  </sheetData>
  <autoFilter ref="A1:F391"/>
  <conditionalFormatting sqref="B2">
    <cfRule type="duplicateValues" dxfId="185" priority="1"/>
  </conditionalFormatting>
  <conditionalFormatting sqref="B317">
    <cfRule type="duplicateValues" dxfId="184" priority="6"/>
  </conditionalFormatting>
  <conditionalFormatting sqref="B318:B338">
    <cfRule type="duplicateValues" dxfId="183" priority="8"/>
  </conditionalFormatting>
  <conditionalFormatting sqref="B339">
    <cfRule type="duplicateValues" dxfId="182" priority="4"/>
  </conditionalFormatting>
  <conditionalFormatting sqref="B343:B388 B340:B341">
    <cfRule type="duplicateValues" dxfId="181" priority="188"/>
  </conditionalFormatting>
  <conditionalFormatting sqref="B389:B391">
    <cfRule type="duplicateValues" dxfId="180" priority="2"/>
  </conditionalFormatting>
  <conditionalFormatting sqref="B392:B1048576 B3:B316">
    <cfRule type="duplicateValues" dxfId="179" priority="9"/>
  </conditionalFormatting>
  <conditionalFormatting sqref="C317">
    <cfRule type="duplicateValues" dxfId="178" priority="5"/>
  </conditionalFormatting>
  <conditionalFormatting sqref="C339">
    <cfRule type="duplicateValues" dxfId="177" priority="3"/>
  </conditionalFormatting>
  <pageMargins left="0.70866141732283472" right="0.70866141732283472" top="0.74803149606299213" bottom="0.74803149606299213" header="0.31496062992125984" footer="0.31496062992125984"/>
  <pageSetup paperSize="9" scale="63" firstPageNumber="90" fitToHeight="10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4"/>
  <sheetViews>
    <sheetView zoomScaleNormal="100" workbookViewId="0">
      <pane ySplit="1" topLeftCell="A1184" activePane="bottomLeft" state="frozen"/>
      <selection activeCell="D121" sqref="D121"/>
      <selection pane="bottomLeft" activeCell="H1067" sqref="H1067"/>
    </sheetView>
  </sheetViews>
  <sheetFormatPr defaultColWidth="9.140625" defaultRowHeight="12.75"/>
  <cols>
    <col min="1" max="1" width="5.5703125" style="667" customWidth="1"/>
    <col min="2" max="2" width="30.42578125" style="667" customWidth="1"/>
    <col min="3" max="3" width="52.28515625" style="669" customWidth="1"/>
    <col min="4" max="4" width="9.5703125" style="289" customWidth="1"/>
    <col min="5" max="7" width="16" style="670" customWidth="1"/>
    <col min="8" max="8" width="11.28515625" style="289" bestFit="1" customWidth="1"/>
    <col min="9" max="9" width="14.5703125" style="289" bestFit="1" customWidth="1"/>
    <col min="10" max="16384" width="9.140625" style="289"/>
  </cols>
  <sheetData>
    <row r="1" spans="1:7" ht="26.25" thickBot="1">
      <c r="A1" s="335" t="s">
        <v>120</v>
      </c>
      <c r="B1" s="293" t="s">
        <v>2029</v>
      </c>
      <c r="C1" s="293" t="s">
        <v>121</v>
      </c>
      <c r="D1" s="293" t="s">
        <v>1921</v>
      </c>
      <c r="E1" s="294" t="s">
        <v>2590</v>
      </c>
      <c r="F1" s="294" t="s">
        <v>2591</v>
      </c>
      <c r="G1" s="294" t="s">
        <v>3973</v>
      </c>
    </row>
    <row r="2" spans="1:7">
      <c r="A2" s="336" t="s">
        <v>1941</v>
      </c>
      <c r="B2" s="328" t="s">
        <v>2030</v>
      </c>
      <c r="C2" s="328" t="s">
        <v>2031</v>
      </c>
      <c r="D2" s="329"/>
      <c r="E2" s="330"/>
      <c r="F2" s="330"/>
      <c r="G2" s="330"/>
    </row>
    <row r="3" spans="1:7">
      <c r="A3" s="309" t="s">
        <v>1944</v>
      </c>
      <c r="B3" s="296" t="s">
        <v>463</v>
      </c>
      <c r="C3" s="296" t="s">
        <v>2032</v>
      </c>
      <c r="D3" s="310"/>
      <c r="E3" s="319"/>
      <c r="F3" s="319"/>
      <c r="G3" s="319"/>
    </row>
    <row r="4" spans="1:7">
      <c r="A4" s="309" t="s">
        <v>1946</v>
      </c>
      <c r="B4" s="296" t="s">
        <v>464</v>
      </c>
      <c r="C4" s="296" t="s">
        <v>2033</v>
      </c>
      <c r="D4" s="310"/>
      <c r="E4" s="319"/>
      <c r="F4" s="319"/>
      <c r="G4" s="319"/>
    </row>
    <row r="5" spans="1:7">
      <c r="A5" s="309" t="s">
        <v>1948</v>
      </c>
      <c r="B5" s="296" t="s">
        <v>465</v>
      </c>
      <c r="C5" s="296" t="s">
        <v>2034</v>
      </c>
      <c r="D5" s="310"/>
      <c r="E5" s="319"/>
      <c r="F5" s="319"/>
      <c r="G5" s="319"/>
    </row>
    <row r="6" spans="1:7" ht="25.5">
      <c r="A6" s="309" t="s">
        <v>1950</v>
      </c>
      <c r="B6" s="296" t="s">
        <v>466</v>
      </c>
      <c r="C6" s="296" t="s">
        <v>2035</v>
      </c>
      <c r="D6" s="310"/>
      <c r="E6" s="319"/>
      <c r="F6" s="319"/>
      <c r="G6" s="319"/>
    </row>
    <row r="7" spans="1:7" ht="24">
      <c r="A7" s="299">
        <v>7</v>
      </c>
      <c r="B7" s="672">
        <v>300100100100000</v>
      </c>
      <c r="C7" s="300" t="s">
        <v>467</v>
      </c>
      <c r="D7" s="311"/>
      <c r="E7" s="322">
        <v>315613865.48000002</v>
      </c>
      <c r="F7" s="322">
        <v>276076877.81</v>
      </c>
      <c r="G7" s="322">
        <f>E7-F7</f>
        <v>39536987.670000017</v>
      </c>
    </row>
    <row r="8" spans="1:7">
      <c r="A8" s="299">
        <v>7</v>
      </c>
      <c r="B8" s="672">
        <v>300100100110000</v>
      </c>
      <c r="C8" s="300" t="s">
        <v>1922</v>
      </c>
      <c r="D8" s="311"/>
      <c r="E8" s="322">
        <v>1</v>
      </c>
      <c r="F8" s="322"/>
      <c r="G8" s="322">
        <f>E8-F8</f>
        <v>1</v>
      </c>
    </row>
    <row r="9" spans="1:7">
      <c r="A9" s="309" t="s">
        <v>1950</v>
      </c>
      <c r="B9" s="673" t="s">
        <v>469</v>
      </c>
      <c r="C9" s="296" t="s">
        <v>1368</v>
      </c>
      <c r="D9" s="310"/>
      <c r="E9" s="319"/>
      <c r="F9" s="319"/>
      <c r="G9" s="319"/>
    </row>
    <row r="10" spans="1:7">
      <c r="A10" s="299" t="s">
        <v>1951</v>
      </c>
      <c r="B10" s="672">
        <v>300100100200000</v>
      </c>
      <c r="C10" s="300" t="s">
        <v>468</v>
      </c>
      <c r="D10" s="311"/>
      <c r="E10" s="322">
        <v>3403375.55</v>
      </c>
      <c r="F10" s="322">
        <v>1462320.97</v>
      </c>
      <c r="G10" s="322">
        <f>E10-F10</f>
        <v>1941054.5799999998</v>
      </c>
    </row>
    <row r="11" spans="1:7" ht="24">
      <c r="A11" s="299">
        <v>7</v>
      </c>
      <c r="B11" s="672">
        <v>300100100210000</v>
      </c>
      <c r="C11" s="300" t="s">
        <v>1923</v>
      </c>
      <c r="D11" s="311"/>
      <c r="E11" s="322">
        <v>2.27</v>
      </c>
      <c r="F11" s="322"/>
      <c r="G11" s="322">
        <f>E11-F11</f>
        <v>2.27</v>
      </c>
    </row>
    <row r="12" spans="1:7">
      <c r="A12" s="309" t="s">
        <v>1950</v>
      </c>
      <c r="B12" s="673" t="s">
        <v>471</v>
      </c>
      <c r="C12" s="296" t="s">
        <v>1369</v>
      </c>
      <c r="D12" s="310"/>
      <c r="E12" s="319"/>
      <c r="F12" s="319"/>
      <c r="G12" s="319"/>
    </row>
    <row r="13" spans="1:7">
      <c r="A13" s="299" t="s">
        <v>1951</v>
      </c>
      <c r="B13" s="672">
        <v>300100100250000</v>
      </c>
      <c r="C13" s="300" t="s">
        <v>470</v>
      </c>
      <c r="D13" s="311"/>
      <c r="E13" s="322"/>
      <c r="F13" s="322"/>
      <c r="G13" s="322"/>
    </row>
    <row r="14" spans="1:7">
      <c r="A14" s="309" t="s">
        <v>1950</v>
      </c>
      <c r="B14" s="673" t="s">
        <v>472</v>
      </c>
      <c r="C14" s="296" t="s">
        <v>1370</v>
      </c>
      <c r="D14" s="310"/>
      <c r="E14" s="319"/>
      <c r="F14" s="319"/>
      <c r="G14" s="319"/>
    </row>
    <row r="15" spans="1:7" ht="38.25">
      <c r="A15" s="309" t="s">
        <v>1951</v>
      </c>
      <c r="B15" s="673" t="s">
        <v>474</v>
      </c>
      <c r="C15" s="296" t="s">
        <v>1371</v>
      </c>
      <c r="D15" s="310" t="s">
        <v>1238</v>
      </c>
      <c r="E15" s="319"/>
      <c r="F15" s="319"/>
      <c r="G15" s="319"/>
    </row>
    <row r="16" spans="1:7" ht="24">
      <c r="A16" s="299" t="s">
        <v>1998</v>
      </c>
      <c r="B16" s="672">
        <v>300100100301000</v>
      </c>
      <c r="C16" s="300" t="s">
        <v>473</v>
      </c>
      <c r="D16" s="311" t="s">
        <v>1238</v>
      </c>
      <c r="E16" s="322"/>
      <c r="F16" s="322"/>
      <c r="G16" s="322"/>
    </row>
    <row r="17" spans="1:7" ht="38.25">
      <c r="A17" s="309" t="s">
        <v>1951</v>
      </c>
      <c r="B17" s="673" t="s">
        <v>476</v>
      </c>
      <c r="C17" s="296" t="s">
        <v>2036</v>
      </c>
      <c r="D17" s="310"/>
      <c r="E17" s="319"/>
      <c r="F17" s="319"/>
      <c r="G17" s="319"/>
    </row>
    <row r="18" spans="1:7" ht="24">
      <c r="A18" s="299" t="s">
        <v>1998</v>
      </c>
      <c r="B18" s="672">
        <v>300100100302000</v>
      </c>
      <c r="C18" s="300" t="s">
        <v>475</v>
      </c>
      <c r="D18" s="311"/>
      <c r="E18" s="322"/>
      <c r="F18" s="322"/>
      <c r="G18" s="322"/>
    </row>
    <row r="19" spans="1:7" ht="25.5">
      <c r="A19" s="309" t="s">
        <v>1951</v>
      </c>
      <c r="B19" s="673" t="s">
        <v>478</v>
      </c>
      <c r="C19" s="296" t="s">
        <v>1373</v>
      </c>
      <c r="D19" s="310"/>
      <c r="E19" s="319"/>
      <c r="F19" s="319"/>
      <c r="G19" s="319"/>
    </row>
    <row r="20" spans="1:7">
      <c r="A20" s="299" t="s">
        <v>1998</v>
      </c>
      <c r="B20" s="672">
        <v>300100100303000</v>
      </c>
      <c r="C20" s="300" t="s">
        <v>477</v>
      </c>
      <c r="D20" s="311"/>
      <c r="E20" s="322"/>
      <c r="F20" s="322"/>
      <c r="G20" s="322"/>
    </row>
    <row r="21" spans="1:7">
      <c r="A21" s="309" t="s">
        <v>1948</v>
      </c>
      <c r="B21" s="673" t="s">
        <v>479</v>
      </c>
      <c r="C21" s="296" t="s">
        <v>2037</v>
      </c>
      <c r="D21" s="310"/>
      <c r="E21" s="319"/>
      <c r="F21" s="319"/>
      <c r="G21" s="319"/>
    </row>
    <row r="22" spans="1:7" ht="25.5">
      <c r="A22" s="309" t="s">
        <v>1950</v>
      </c>
      <c r="B22" s="673" t="s">
        <v>480</v>
      </c>
      <c r="C22" s="296" t="s">
        <v>1375</v>
      </c>
      <c r="D22" s="310" t="s">
        <v>1238</v>
      </c>
      <c r="E22" s="319"/>
      <c r="F22" s="319"/>
      <c r="G22" s="319"/>
    </row>
    <row r="23" spans="1:7" ht="24">
      <c r="A23" s="299" t="s">
        <v>1951</v>
      </c>
      <c r="B23" s="672">
        <v>300100200100000</v>
      </c>
      <c r="C23" s="300" t="s">
        <v>2038</v>
      </c>
      <c r="D23" s="311" t="s">
        <v>1238</v>
      </c>
      <c r="E23" s="322"/>
      <c r="F23" s="322"/>
      <c r="G23" s="322"/>
    </row>
    <row r="24" spans="1:7" ht="25.5">
      <c r="A24" s="309" t="s">
        <v>1950</v>
      </c>
      <c r="B24" s="673" t="s">
        <v>481</v>
      </c>
      <c r="C24" s="296" t="s">
        <v>1376</v>
      </c>
      <c r="D24" s="310"/>
      <c r="E24" s="319"/>
      <c r="F24" s="319"/>
      <c r="G24" s="319"/>
    </row>
    <row r="25" spans="1:7" ht="24">
      <c r="A25" s="299" t="s">
        <v>1951</v>
      </c>
      <c r="B25" s="672">
        <v>300100200200000</v>
      </c>
      <c r="C25" s="300" t="s">
        <v>2039</v>
      </c>
      <c r="D25" s="311"/>
      <c r="E25" s="322"/>
      <c r="F25" s="322"/>
      <c r="G25" s="322"/>
    </row>
    <row r="26" spans="1:7">
      <c r="A26" s="309" t="s">
        <v>1950</v>
      </c>
      <c r="B26" s="673" t="s">
        <v>483</v>
      </c>
      <c r="C26" s="296" t="s">
        <v>1377</v>
      </c>
      <c r="D26" s="310"/>
      <c r="E26" s="319"/>
      <c r="F26" s="319"/>
      <c r="G26" s="319"/>
    </row>
    <row r="27" spans="1:7">
      <c r="A27" s="299" t="s">
        <v>1951</v>
      </c>
      <c r="B27" s="672">
        <v>300100200300000</v>
      </c>
      <c r="C27" s="300" t="s">
        <v>482</v>
      </c>
      <c r="D27" s="311"/>
      <c r="E27" s="322"/>
      <c r="F27" s="322"/>
      <c r="G27" s="322"/>
    </row>
    <row r="28" spans="1:7">
      <c r="A28" s="309" t="s">
        <v>1948</v>
      </c>
      <c r="B28" s="673" t="s">
        <v>485</v>
      </c>
      <c r="C28" s="296" t="s">
        <v>1378</v>
      </c>
      <c r="D28" s="310"/>
      <c r="E28" s="319"/>
      <c r="F28" s="319"/>
      <c r="G28" s="319"/>
    </row>
    <row r="29" spans="1:7">
      <c r="A29" s="309" t="s">
        <v>1950</v>
      </c>
      <c r="B29" s="673" t="s">
        <v>486</v>
      </c>
      <c r="C29" s="296" t="s">
        <v>2040</v>
      </c>
      <c r="D29" s="310"/>
      <c r="E29" s="319"/>
      <c r="F29" s="319"/>
      <c r="G29" s="319"/>
    </row>
    <row r="30" spans="1:7">
      <c r="A30" s="299" t="s">
        <v>1951</v>
      </c>
      <c r="B30" s="672">
        <v>300100300100000</v>
      </c>
      <c r="C30" s="300" t="s">
        <v>484</v>
      </c>
      <c r="D30" s="311"/>
      <c r="E30" s="322">
        <v>88606410.739999995</v>
      </c>
      <c r="F30" s="322">
        <v>78803270.640000001</v>
      </c>
      <c r="G30" s="322">
        <f>E30-F30</f>
        <v>9803140.099999994</v>
      </c>
    </row>
    <row r="31" spans="1:7">
      <c r="A31" s="299">
        <v>7</v>
      </c>
      <c r="B31" s="672">
        <v>300100300110000</v>
      </c>
      <c r="C31" s="300" t="s">
        <v>1924</v>
      </c>
      <c r="D31" s="311"/>
      <c r="E31" s="322">
        <v>193.18</v>
      </c>
      <c r="F31" s="322"/>
      <c r="G31" s="322">
        <f>E31-F31</f>
        <v>193.18</v>
      </c>
    </row>
    <row r="32" spans="1:7">
      <c r="A32" s="309" t="s">
        <v>1950</v>
      </c>
      <c r="B32" s="673" t="s">
        <v>488</v>
      </c>
      <c r="C32" s="296" t="s">
        <v>2041</v>
      </c>
      <c r="D32" s="310"/>
      <c r="E32" s="319"/>
      <c r="F32" s="319"/>
      <c r="G32" s="319"/>
    </row>
    <row r="33" spans="1:7">
      <c r="A33" s="299" t="s">
        <v>1951</v>
      </c>
      <c r="B33" s="672">
        <v>300100300200000</v>
      </c>
      <c r="C33" s="300" t="s">
        <v>487</v>
      </c>
      <c r="D33" s="311"/>
      <c r="E33" s="322">
        <v>787034.04</v>
      </c>
      <c r="F33" s="322">
        <v>189245</v>
      </c>
      <c r="G33" s="322">
        <f>E33-F33</f>
        <v>597789.04</v>
      </c>
    </row>
    <row r="34" spans="1:7" ht="24">
      <c r="A34" s="299">
        <v>7</v>
      </c>
      <c r="B34" s="672">
        <v>300100300210000</v>
      </c>
      <c r="C34" s="300" t="s">
        <v>1925</v>
      </c>
      <c r="D34" s="311"/>
      <c r="E34" s="322"/>
      <c r="F34" s="322"/>
      <c r="G34" s="322">
        <f>E34-F34</f>
        <v>0</v>
      </c>
    </row>
    <row r="35" spans="1:7">
      <c r="A35" s="309" t="s">
        <v>1950</v>
      </c>
      <c r="B35" s="673" t="s">
        <v>490</v>
      </c>
      <c r="C35" s="296" t="s">
        <v>2042</v>
      </c>
      <c r="D35" s="310"/>
      <c r="E35" s="319"/>
      <c r="F35" s="319"/>
      <c r="G35" s="319"/>
    </row>
    <row r="36" spans="1:7">
      <c r="A36" s="299" t="s">
        <v>1951</v>
      </c>
      <c r="B36" s="672">
        <v>300100300300000</v>
      </c>
      <c r="C36" s="300" t="s">
        <v>489</v>
      </c>
      <c r="D36" s="311"/>
      <c r="E36" s="322">
        <v>6263885.1399999997</v>
      </c>
      <c r="F36" s="322">
        <v>8102376.9800000004</v>
      </c>
      <c r="G36" s="322">
        <f>E36-F36</f>
        <v>-1838491.8400000008</v>
      </c>
    </row>
    <row r="37" spans="1:7" ht="24">
      <c r="A37" s="299">
        <v>7</v>
      </c>
      <c r="B37" s="672">
        <v>300100300310000</v>
      </c>
      <c r="C37" s="300" t="s">
        <v>1926</v>
      </c>
      <c r="D37" s="311"/>
      <c r="E37" s="322">
        <v>1.79</v>
      </c>
      <c r="F37" s="322"/>
      <c r="G37" s="322">
        <f>E37-F37</f>
        <v>1.79</v>
      </c>
    </row>
    <row r="38" spans="1:7">
      <c r="A38" s="309" t="s">
        <v>1948</v>
      </c>
      <c r="B38" s="673" t="s">
        <v>492</v>
      </c>
      <c r="C38" s="296" t="s">
        <v>2043</v>
      </c>
      <c r="D38" s="310"/>
      <c r="E38" s="319"/>
      <c r="F38" s="319"/>
      <c r="G38" s="319"/>
    </row>
    <row r="39" spans="1:7">
      <c r="A39" s="299" t="s">
        <v>1950</v>
      </c>
      <c r="B39" s="672">
        <v>300100400000000</v>
      </c>
      <c r="C39" s="300" t="s">
        <v>491</v>
      </c>
      <c r="D39" s="311"/>
      <c r="E39" s="322">
        <v>2354109.0299999998</v>
      </c>
      <c r="F39" s="322">
        <v>2515948.41</v>
      </c>
      <c r="G39" s="322">
        <f>E39-F39</f>
        <v>-161839.38000000035</v>
      </c>
    </row>
    <row r="40" spans="1:7">
      <c r="A40" s="299">
        <v>6</v>
      </c>
      <c r="B40" s="672">
        <v>300100400100000</v>
      </c>
      <c r="C40" s="300" t="s">
        <v>1927</v>
      </c>
      <c r="D40" s="311"/>
      <c r="E40" s="322"/>
      <c r="F40" s="322"/>
      <c r="G40" s="322"/>
    </row>
    <row r="41" spans="1:7">
      <c r="A41" s="309" t="s">
        <v>1948</v>
      </c>
      <c r="B41" s="673" t="s">
        <v>494</v>
      </c>
      <c r="C41" s="296" t="s">
        <v>2044</v>
      </c>
      <c r="D41" s="310"/>
      <c r="E41" s="319"/>
      <c r="F41" s="319"/>
      <c r="G41" s="319"/>
    </row>
    <row r="42" spans="1:7">
      <c r="A42" s="299" t="s">
        <v>1950</v>
      </c>
      <c r="B42" s="672">
        <v>300100500000000</v>
      </c>
      <c r="C42" s="300" t="s">
        <v>493</v>
      </c>
      <c r="D42" s="311"/>
      <c r="E42" s="322">
        <v>15808515.710000001</v>
      </c>
      <c r="F42" s="322">
        <v>12598876.84</v>
      </c>
      <c r="G42" s="322">
        <f>E42-F42</f>
        <v>3209638.870000001</v>
      </c>
    </row>
    <row r="43" spans="1:7" ht="24">
      <c r="A43" s="299">
        <v>6</v>
      </c>
      <c r="B43" s="672">
        <v>300100500100000</v>
      </c>
      <c r="C43" s="300" t="s">
        <v>1928</v>
      </c>
      <c r="D43" s="311"/>
      <c r="E43" s="322">
        <v>0</v>
      </c>
      <c r="F43" s="322"/>
      <c r="G43" s="322"/>
    </row>
    <row r="44" spans="1:7">
      <c r="A44" s="309" t="s">
        <v>1948</v>
      </c>
      <c r="B44" s="673" t="s">
        <v>496</v>
      </c>
      <c r="C44" s="296" t="s">
        <v>2045</v>
      </c>
      <c r="D44" s="310"/>
      <c r="E44" s="319"/>
      <c r="F44" s="319"/>
      <c r="G44" s="319"/>
    </row>
    <row r="45" spans="1:7">
      <c r="A45" s="299" t="s">
        <v>1950</v>
      </c>
      <c r="B45" s="672">
        <v>300100600000000</v>
      </c>
      <c r="C45" s="300" t="s">
        <v>495</v>
      </c>
      <c r="D45" s="311"/>
      <c r="E45" s="322">
        <v>14794.1</v>
      </c>
      <c r="F45" s="322"/>
      <c r="G45" s="322">
        <f>E45-F45</f>
        <v>14794.1</v>
      </c>
    </row>
    <row r="46" spans="1:7">
      <c r="A46" s="299">
        <v>6</v>
      </c>
      <c r="B46" s="672">
        <v>300100600100000</v>
      </c>
      <c r="C46" s="300" t="s">
        <v>1929</v>
      </c>
      <c r="D46" s="311"/>
      <c r="E46" s="322"/>
      <c r="F46" s="322"/>
      <c r="G46" s="322"/>
    </row>
    <row r="47" spans="1:7">
      <c r="A47" s="309" t="s">
        <v>1948</v>
      </c>
      <c r="B47" s="673" t="s">
        <v>498</v>
      </c>
      <c r="C47" s="296" t="s">
        <v>2046</v>
      </c>
      <c r="D47" s="310"/>
      <c r="E47" s="319"/>
      <c r="F47" s="319"/>
      <c r="G47" s="319"/>
    </row>
    <row r="48" spans="1:7">
      <c r="A48" s="299" t="s">
        <v>1950</v>
      </c>
      <c r="B48" s="672">
        <v>300100700000000</v>
      </c>
      <c r="C48" s="300" t="s">
        <v>497</v>
      </c>
      <c r="D48" s="311"/>
      <c r="E48" s="322">
        <v>47393.64</v>
      </c>
      <c r="F48" s="322">
        <v>20896.400000000001</v>
      </c>
      <c r="G48" s="322">
        <f>E48-F48</f>
        <v>26497.239999999998</v>
      </c>
    </row>
    <row r="49" spans="1:8" ht="24">
      <c r="A49" s="299">
        <v>6</v>
      </c>
      <c r="B49" s="672">
        <v>300100700100000</v>
      </c>
      <c r="C49" s="300" t="s">
        <v>1930</v>
      </c>
      <c r="D49" s="311"/>
      <c r="E49" s="322"/>
      <c r="F49" s="322"/>
      <c r="G49" s="322"/>
    </row>
    <row r="50" spans="1:8">
      <c r="A50" s="309" t="s">
        <v>1948</v>
      </c>
      <c r="B50" s="673" t="s">
        <v>500</v>
      </c>
      <c r="C50" s="296" t="s">
        <v>2047</v>
      </c>
      <c r="D50" s="310"/>
      <c r="E50" s="319"/>
      <c r="F50" s="319"/>
      <c r="G50" s="319"/>
    </row>
    <row r="51" spans="1:8">
      <c r="A51" s="299" t="s">
        <v>1950</v>
      </c>
      <c r="B51" s="672">
        <v>300100800000000</v>
      </c>
      <c r="C51" s="300" t="s">
        <v>499</v>
      </c>
      <c r="D51" s="311"/>
      <c r="E51" s="322">
        <v>3095803.63</v>
      </c>
      <c r="F51" s="322">
        <v>3536785.63</v>
      </c>
      <c r="G51" s="322">
        <f>E51-F51</f>
        <v>-440982</v>
      </c>
    </row>
    <row r="52" spans="1:8" ht="24">
      <c r="A52" s="299">
        <v>6</v>
      </c>
      <c r="B52" s="672">
        <v>300100800100000</v>
      </c>
      <c r="C52" s="300" t="s">
        <v>1931</v>
      </c>
      <c r="D52" s="311"/>
      <c r="E52" s="322">
        <v>0</v>
      </c>
      <c r="F52" s="322"/>
      <c r="G52" s="322"/>
    </row>
    <row r="53" spans="1:8" ht="25.5">
      <c r="A53" s="309" t="s">
        <v>1948</v>
      </c>
      <c r="B53" s="673" t="s">
        <v>501</v>
      </c>
      <c r="C53" s="296" t="s">
        <v>2048</v>
      </c>
      <c r="D53" s="310" t="s">
        <v>1238</v>
      </c>
      <c r="E53" s="319"/>
      <c r="F53" s="319"/>
      <c r="G53" s="319"/>
      <c r="H53" s="667"/>
    </row>
    <row r="54" spans="1:8">
      <c r="A54" s="309" t="s">
        <v>1950</v>
      </c>
      <c r="B54" s="673" t="s">
        <v>502</v>
      </c>
      <c r="C54" s="296" t="s">
        <v>1388</v>
      </c>
      <c r="D54" s="310" t="s">
        <v>1238</v>
      </c>
      <c r="E54" s="319"/>
      <c r="F54" s="319"/>
      <c r="G54" s="319"/>
      <c r="H54" s="667"/>
    </row>
    <row r="55" spans="1:8" ht="24">
      <c r="A55" s="299" t="s">
        <v>1951</v>
      </c>
      <c r="B55" s="672">
        <v>300100900100000</v>
      </c>
      <c r="C55" s="300" t="s">
        <v>2049</v>
      </c>
      <c r="D55" s="311" t="s">
        <v>1238</v>
      </c>
      <c r="E55" s="322">
        <v>0</v>
      </c>
      <c r="F55" s="322"/>
      <c r="G55" s="322"/>
      <c r="H55" s="667"/>
    </row>
    <row r="56" spans="1:8">
      <c r="A56" s="299" t="s">
        <v>1951</v>
      </c>
      <c r="B56" s="672">
        <v>300100900150000</v>
      </c>
      <c r="C56" s="300" t="s">
        <v>2050</v>
      </c>
      <c r="D56" s="311" t="s">
        <v>1238</v>
      </c>
      <c r="E56" s="322">
        <v>0</v>
      </c>
      <c r="F56" s="322"/>
      <c r="G56" s="322"/>
      <c r="H56" s="667"/>
    </row>
    <row r="57" spans="1:8" ht="24">
      <c r="A57" s="299" t="s">
        <v>1951</v>
      </c>
      <c r="B57" s="672">
        <v>300100900200000</v>
      </c>
      <c r="C57" s="300" t="s">
        <v>2051</v>
      </c>
      <c r="D57" s="311" t="s">
        <v>1238</v>
      </c>
      <c r="E57" s="322"/>
      <c r="F57" s="322"/>
      <c r="G57" s="322"/>
      <c r="H57" s="667"/>
    </row>
    <row r="58" spans="1:8">
      <c r="A58" s="309" t="s">
        <v>1950</v>
      </c>
      <c r="B58" s="673" t="s">
        <v>2052</v>
      </c>
      <c r="C58" s="296" t="s">
        <v>2053</v>
      </c>
      <c r="D58" s="310" t="s">
        <v>1238</v>
      </c>
      <c r="E58" s="319"/>
      <c r="F58" s="319"/>
      <c r="G58" s="319"/>
      <c r="H58" s="667"/>
    </row>
    <row r="59" spans="1:8">
      <c r="A59" s="299" t="s">
        <v>1951</v>
      </c>
      <c r="B59" s="674">
        <v>300100900250000</v>
      </c>
      <c r="C59" s="300" t="s">
        <v>2054</v>
      </c>
      <c r="D59" s="311" t="s">
        <v>1238</v>
      </c>
      <c r="E59" s="322"/>
      <c r="F59" s="322"/>
      <c r="G59" s="322"/>
      <c r="H59" s="667"/>
    </row>
    <row r="60" spans="1:8">
      <c r="A60" s="309" t="s">
        <v>1950</v>
      </c>
      <c r="B60" s="673" t="s">
        <v>503</v>
      </c>
      <c r="C60" s="296" t="s">
        <v>1389</v>
      </c>
      <c r="D60" s="310" t="s">
        <v>1238</v>
      </c>
      <c r="E60" s="319"/>
      <c r="F60" s="319"/>
      <c r="G60" s="319"/>
      <c r="H60" s="667"/>
    </row>
    <row r="61" spans="1:8">
      <c r="A61" s="299" t="s">
        <v>1951</v>
      </c>
      <c r="B61" s="672">
        <v>300100900300000</v>
      </c>
      <c r="C61" s="300" t="s">
        <v>2055</v>
      </c>
      <c r="D61" s="311" t="s">
        <v>1238</v>
      </c>
      <c r="E61" s="322">
        <v>0</v>
      </c>
      <c r="F61" s="322"/>
      <c r="G61" s="322"/>
      <c r="H61" s="667"/>
    </row>
    <row r="62" spans="1:8" ht="24">
      <c r="A62" s="299" t="s">
        <v>1951</v>
      </c>
      <c r="B62" s="672">
        <v>300100900350000</v>
      </c>
      <c r="C62" s="300" t="s">
        <v>2056</v>
      </c>
      <c r="D62" s="311" t="s">
        <v>1238</v>
      </c>
      <c r="E62" s="322"/>
      <c r="F62" s="322"/>
      <c r="G62" s="322"/>
      <c r="H62" s="667"/>
    </row>
    <row r="63" spans="1:8" ht="24">
      <c r="A63" s="299" t="s">
        <v>1951</v>
      </c>
      <c r="B63" s="672">
        <v>300100900400000</v>
      </c>
      <c r="C63" s="300" t="s">
        <v>2057</v>
      </c>
      <c r="D63" s="311"/>
      <c r="E63" s="322">
        <v>0</v>
      </c>
      <c r="F63" s="322"/>
      <c r="G63" s="322"/>
      <c r="H63" s="667"/>
    </row>
    <row r="64" spans="1:8">
      <c r="A64" s="309" t="s">
        <v>1950</v>
      </c>
      <c r="B64" s="673" t="s">
        <v>504</v>
      </c>
      <c r="C64" s="296" t="s">
        <v>1390</v>
      </c>
      <c r="D64" s="310" t="s">
        <v>1238</v>
      </c>
      <c r="E64" s="319"/>
      <c r="F64" s="319"/>
      <c r="G64" s="319"/>
      <c r="H64" s="667"/>
    </row>
    <row r="65" spans="1:8">
      <c r="A65" s="299" t="s">
        <v>1951</v>
      </c>
      <c r="B65" s="672">
        <v>300100900450000</v>
      </c>
      <c r="C65" s="300" t="s">
        <v>2058</v>
      </c>
      <c r="D65" s="311" t="s">
        <v>1238</v>
      </c>
      <c r="E65" s="322"/>
      <c r="F65" s="322"/>
      <c r="G65" s="322"/>
      <c r="H65" s="667"/>
    </row>
    <row r="66" spans="1:8">
      <c r="A66" s="309" t="s">
        <v>1950</v>
      </c>
      <c r="B66" s="673" t="s">
        <v>505</v>
      </c>
      <c r="C66" s="296" t="s">
        <v>1391</v>
      </c>
      <c r="D66" s="310" t="s">
        <v>1238</v>
      </c>
      <c r="E66" s="319"/>
      <c r="F66" s="319"/>
      <c r="G66" s="319"/>
      <c r="H66" s="667"/>
    </row>
    <row r="67" spans="1:8" ht="24">
      <c r="A67" s="299" t="s">
        <v>1951</v>
      </c>
      <c r="B67" s="672">
        <v>300100900500000</v>
      </c>
      <c r="C67" s="300" t="s">
        <v>2059</v>
      </c>
      <c r="D67" s="311" t="s">
        <v>1238</v>
      </c>
      <c r="E67" s="322">
        <v>0</v>
      </c>
      <c r="F67" s="322"/>
      <c r="G67" s="322"/>
      <c r="H67" s="667"/>
    </row>
    <row r="68" spans="1:8">
      <c r="A68" s="309" t="s">
        <v>1950</v>
      </c>
      <c r="B68" s="673" t="s">
        <v>506</v>
      </c>
      <c r="C68" s="296" t="s">
        <v>1392</v>
      </c>
      <c r="D68" s="310" t="s">
        <v>1238</v>
      </c>
      <c r="E68" s="319"/>
      <c r="F68" s="319"/>
      <c r="G68" s="319"/>
      <c r="H68" s="667"/>
    </row>
    <row r="69" spans="1:8">
      <c r="A69" s="299" t="s">
        <v>1951</v>
      </c>
      <c r="B69" s="672">
        <v>300100900550000</v>
      </c>
      <c r="C69" s="300" t="s">
        <v>2060</v>
      </c>
      <c r="D69" s="311" t="s">
        <v>1238</v>
      </c>
      <c r="E69" s="322"/>
      <c r="F69" s="322"/>
      <c r="G69" s="322"/>
      <c r="H69" s="667"/>
    </row>
    <row r="70" spans="1:8">
      <c r="A70" s="309" t="s">
        <v>1950</v>
      </c>
      <c r="B70" s="673" t="s">
        <v>507</v>
      </c>
      <c r="C70" s="296" t="s">
        <v>1393</v>
      </c>
      <c r="D70" s="310" t="s">
        <v>1238</v>
      </c>
      <c r="E70" s="319"/>
      <c r="F70" s="319"/>
      <c r="G70" s="319"/>
      <c r="H70" s="667"/>
    </row>
    <row r="71" spans="1:8" ht="24">
      <c r="A71" s="299" t="s">
        <v>1951</v>
      </c>
      <c r="B71" s="672">
        <v>300100900600000</v>
      </c>
      <c r="C71" s="300" t="s">
        <v>2061</v>
      </c>
      <c r="D71" s="311" t="s">
        <v>1238</v>
      </c>
      <c r="E71" s="322"/>
      <c r="F71" s="322"/>
      <c r="G71" s="322"/>
      <c r="H71" s="667"/>
    </row>
    <row r="72" spans="1:8">
      <c r="A72" s="309" t="s">
        <v>1950</v>
      </c>
      <c r="B72" s="673" t="s">
        <v>508</v>
      </c>
      <c r="C72" s="296" t="s">
        <v>1394</v>
      </c>
      <c r="D72" s="310" t="s">
        <v>1238</v>
      </c>
      <c r="E72" s="319"/>
      <c r="F72" s="319"/>
      <c r="G72" s="319"/>
      <c r="H72" s="667"/>
    </row>
    <row r="73" spans="1:8">
      <c r="A73" s="299" t="s">
        <v>1951</v>
      </c>
      <c r="B73" s="672">
        <v>300100900900000</v>
      </c>
      <c r="C73" s="300" t="s">
        <v>2062</v>
      </c>
      <c r="D73" s="311" t="s">
        <v>1238</v>
      </c>
      <c r="E73" s="322">
        <v>0</v>
      </c>
      <c r="F73" s="322"/>
      <c r="G73" s="322"/>
      <c r="H73" s="667"/>
    </row>
    <row r="74" spans="1:8">
      <c r="A74" s="309" t="s">
        <v>1946</v>
      </c>
      <c r="B74" s="673" t="s">
        <v>509</v>
      </c>
      <c r="C74" s="296" t="s">
        <v>2063</v>
      </c>
      <c r="D74" s="310"/>
      <c r="E74" s="319"/>
      <c r="F74" s="319"/>
      <c r="G74" s="319"/>
    </row>
    <row r="75" spans="1:8">
      <c r="A75" s="309" t="s">
        <v>1948</v>
      </c>
      <c r="B75" s="673" t="s">
        <v>511</v>
      </c>
      <c r="C75" s="296" t="s">
        <v>2064</v>
      </c>
      <c r="D75" s="310"/>
      <c r="E75" s="319"/>
      <c r="F75" s="319"/>
      <c r="G75" s="319"/>
    </row>
    <row r="76" spans="1:8">
      <c r="A76" s="299">
        <v>6</v>
      </c>
      <c r="B76" s="672">
        <v>300200100000000</v>
      </c>
      <c r="C76" s="300" t="s">
        <v>510</v>
      </c>
      <c r="D76" s="311"/>
      <c r="E76" s="322">
        <v>91474.57</v>
      </c>
      <c r="F76" s="322">
        <v>89057.75</v>
      </c>
      <c r="G76" s="322"/>
    </row>
    <row r="77" spans="1:8">
      <c r="A77" s="299">
        <v>6</v>
      </c>
      <c r="B77" s="672">
        <v>300200100100000</v>
      </c>
      <c r="C77" s="300" t="s">
        <v>1932</v>
      </c>
      <c r="D77" s="311"/>
      <c r="E77" s="322">
        <v>26.77</v>
      </c>
      <c r="F77" s="322"/>
      <c r="G77" s="322"/>
    </row>
    <row r="78" spans="1:8" ht="25.5">
      <c r="A78" s="309" t="s">
        <v>1948</v>
      </c>
      <c r="B78" s="673" t="s">
        <v>513</v>
      </c>
      <c r="C78" s="296" t="s">
        <v>2065</v>
      </c>
      <c r="D78" s="310"/>
      <c r="E78" s="319"/>
      <c r="F78" s="319"/>
      <c r="G78" s="319"/>
    </row>
    <row r="79" spans="1:8">
      <c r="A79" s="299" t="s">
        <v>1950</v>
      </c>
      <c r="B79" s="672">
        <v>300200200000000</v>
      </c>
      <c r="C79" s="300" t="s">
        <v>512</v>
      </c>
      <c r="D79" s="311"/>
      <c r="E79" s="322">
        <v>4635709.8099999996</v>
      </c>
      <c r="F79" s="322">
        <v>5595422.0999999996</v>
      </c>
      <c r="G79" s="322"/>
    </row>
    <row r="80" spans="1:8" ht="24">
      <c r="A80" s="299">
        <v>6</v>
      </c>
      <c r="B80" s="672">
        <v>300200200100000</v>
      </c>
      <c r="C80" s="300" t="s">
        <v>1933</v>
      </c>
      <c r="D80" s="311"/>
      <c r="E80" s="322">
        <v>410.6</v>
      </c>
      <c r="F80" s="322"/>
      <c r="G80" s="322"/>
    </row>
    <row r="81" spans="1:8">
      <c r="A81" s="309" t="s">
        <v>1948</v>
      </c>
      <c r="B81" s="673" t="s">
        <v>515</v>
      </c>
      <c r="C81" s="296" t="s">
        <v>2066</v>
      </c>
      <c r="D81" s="310"/>
      <c r="E81" s="319"/>
      <c r="F81" s="319"/>
      <c r="G81" s="319"/>
    </row>
    <row r="82" spans="1:8">
      <c r="A82" s="299" t="s">
        <v>1950</v>
      </c>
      <c r="B82" s="672">
        <v>300200300000000</v>
      </c>
      <c r="C82" s="300" t="s">
        <v>514</v>
      </c>
      <c r="D82" s="311"/>
      <c r="E82" s="322">
        <v>6092.42</v>
      </c>
      <c r="F82" s="322">
        <v>3789.49</v>
      </c>
      <c r="G82" s="322"/>
    </row>
    <row r="83" spans="1:8" ht="24">
      <c r="A83" s="299">
        <v>6</v>
      </c>
      <c r="B83" s="672">
        <v>300200300100000</v>
      </c>
      <c r="C83" s="300" t="s">
        <v>1934</v>
      </c>
      <c r="D83" s="311"/>
      <c r="E83" s="322"/>
      <c r="F83" s="322"/>
      <c r="G83" s="322"/>
    </row>
    <row r="84" spans="1:8">
      <c r="A84" s="309" t="s">
        <v>1948</v>
      </c>
      <c r="B84" s="673" t="s">
        <v>516</v>
      </c>
      <c r="C84" s="296" t="s">
        <v>2067</v>
      </c>
      <c r="D84" s="310"/>
      <c r="E84" s="319"/>
      <c r="F84" s="319"/>
      <c r="G84" s="319"/>
    </row>
    <row r="85" spans="1:8">
      <c r="A85" s="299">
        <v>6</v>
      </c>
      <c r="B85" s="672">
        <v>300200400100000</v>
      </c>
      <c r="C85" s="300" t="s">
        <v>517</v>
      </c>
      <c r="D85" s="311"/>
      <c r="E85" s="322">
        <v>1522542.18</v>
      </c>
      <c r="F85" s="322">
        <v>2178524.0099999998</v>
      </c>
      <c r="G85" s="322"/>
    </row>
    <row r="86" spans="1:8">
      <c r="A86" s="299">
        <v>6</v>
      </c>
      <c r="B86" s="672">
        <v>300200400200000</v>
      </c>
      <c r="C86" s="300" t="s">
        <v>518</v>
      </c>
      <c r="D86" s="311"/>
      <c r="E86" s="322">
        <v>1039322.9</v>
      </c>
      <c r="F86" s="322">
        <v>0</v>
      </c>
      <c r="G86" s="322"/>
    </row>
    <row r="87" spans="1:8">
      <c r="A87" s="299">
        <v>6</v>
      </c>
      <c r="B87" s="672">
        <v>300200400300000</v>
      </c>
      <c r="C87" s="300" t="s">
        <v>519</v>
      </c>
      <c r="D87" s="311"/>
      <c r="E87" s="322">
        <v>4185.3999999999996</v>
      </c>
      <c r="F87" s="322">
        <v>954.8</v>
      </c>
      <c r="G87" s="322"/>
    </row>
    <row r="88" spans="1:8" ht="24">
      <c r="A88" s="299">
        <v>6</v>
      </c>
      <c r="B88" s="672">
        <v>300200400400000</v>
      </c>
      <c r="C88" s="300" t="s">
        <v>1935</v>
      </c>
      <c r="D88" s="311"/>
      <c r="E88" s="322">
        <v>1073.45</v>
      </c>
      <c r="F88" s="322"/>
      <c r="G88" s="322"/>
    </row>
    <row r="89" spans="1:8">
      <c r="A89" s="309" t="s">
        <v>1948</v>
      </c>
      <c r="B89" s="673" t="s">
        <v>520</v>
      </c>
      <c r="C89" s="296" t="s">
        <v>2068</v>
      </c>
      <c r="D89" s="310"/>
      <c r="E89" s="319"/>
      <c r="F89" s="319"/>
      <c r="G89" s="319"/>
    </row>
    <row r="90" spans="1:8">
      <c r="A90" s="299">
        <v>6</v>
      </c>
      <c r="B90" s="672">
        <v>300200500100000</v>
      </c>
      <c r="C90" s="300" t="s">
        <v>521</v>
      </c>
      <c r="D90" s="311"/>
      <c r="E90" s="322">
        <v>2323.5</v>
      </c>
      <c r="F90" s="322">
        <v>14207.4</v>
      </c>
      <c r="G90" s="322"/>
    </row>
    <row r="91" spans="1:8">
      <c r="A91" s="299">
        <v>6</v>
      </c>
      <c r="B91" s="672">
        <v>300200500200000</v>
      </c>
      <c r="C91" s="300" t="s">
        <v>522</v>
      </c>
      <c r="D91" s="311"/>
      <c r="E91" s="322">
        <v>1367.43</v>
      </c>
      <c r="F91" s="322">
        <v>154.5</v>
      </c>
      <c r="G91" s="322"/>
    </row>
    <row r="92" spans="1:8" ht="24">
      <c r="A92" s="299">
        <v>6</v>
      </c>
      <c r="B92" s="672">
        <v>300200500300000</v>
      </c>
      <c r="C92" s="300" t="s">
        <v>1936</v>
      </c>
      <c r="D92" s="311"/>
      <c r="E92" s="322"/>
      <c r="F92" s="322"/>
      <c r="G92" s="322"/>
    </row>
    <row r="93" spans="1:8">
      <c r="A93" s="309" t="s">
        <v>1948</v>
      </c>
      <c r="B93" s="673" t="s">
        <v>524</v>
      </c>
      <c r="C93" s="296" t="s">
        <v>2069</v>
      </c>
      <c r="D93" s="310"/>
      <c r="E93" s="319"/>
      <c r="F93" s="319"/>
      <c r="G93" s="319"/>
    </row>
    <row r="94" spans="1:8">
      <c r="A94" s="299" t="s">
        <v>1950</v>
      </c>
      <c r="B94" s="672">
        <v>300200600000000</v>
      </c>
      <c r="C94" s="300" t="s">
        <v>523</v>
      </c>
      <c r="D94" s="311"/>
      <c r="E94" s="322">
        <v>67144.47</v>
      </c>
      <c r="F94" s="322">
        <v>52091.39</v>
      </c>
      <c r="G94" s="322"/>
    </row>
    <row r="95" spans="1:8" ht="24">
      <c r="A95" s="299">
        <v>6</v>
      </c>
      <c r="B95" s="672">
        <v>300200600100000</v>
      </c>
      <c r="C95" s="300" t="s">
        <v>1937</v>
      </c>
      <c r="D95" s="311"/>
      <c r="E95" s="322">
        <v>3.6</v>
      </c>
      <c r="F95" s="322"/>
      <c r="G95" s="322"/>
    </row>
    <row r="96" spans="1:8" ht="25.5">
      <c r="A96" s="309" t="s">
        <v>1948</v>
      </c>
      <c r="B96" s="673" t="s">
        <v>525</v>
      </c>
      <c r="C96" s="296" t="s">
        <v>2070</v>
      </c>
      <c r="D96" s="310" t="s">
        <v>1238</v>
      </c>
      <c r="E96" s="319"/>
      <c r="F96" s="319"/>
      <c r="G96" s="319"/>
      <c r="H96" s="667"/>
    </row>
    <row r="97" spans="1:8">
      <c r="A97" s="299">
        <v>6</v>
      </c>
      <c r="B97" s="672">
        <v>300200700100000</v>
      </c>
      <c r="C97" s="300" t="s">
        <v>2071</v>
      </c>
      <c r="D97" s="311" t="s">
        <v>1238</v>
      </c>
      <c r="E97" s="322">
        <v>0</v>
      </c>
      <c r="F97" s="322"/>
      <c r="G97" s="322"/>
      <c r="H97" s="667"/>
    </row>
    <row r="98" spans="1:8" ht="24">
      <c r="A98" s="299">
        <v>6</v>
      </c>
      <c r="B98" s="672">
        <v>300200700200000</v>
      </c>
      <c r="C98" s="300" t="s">
        <v>2072</v>
      </c>
      <c r="D98" s="311" t="s">
        <v>1238</v>
      </c>
      <c r="E98" s="322">
        <v>0</v>
      </c>
      <c r="F98" s="322"/>
      <c r="G98" s="322"/>
      <c r="H98" s="667"/>
    </row>
    <row r="99" spans="1:8" ht="24">
      <c r="A99" s="299">
        <v>6</v>
      </c>
      <c r="B99" s="672">
        <v>300200700300000</v>
      </c>
      <c r="C99" s="300" t="s">
        <v>2073</v>
      </c>
      <c r="D99" s="311" t="s">
        <v>1238</v>
      </c>
      <c r="E99" s="322"/>
      <c r="F99" s="322"/>
      <c r="G99" s="322"/>
      <c r="H99" s="667"/>
    </row>
    <row r="100" spans="1:8" ht="24">
      <c r="A100" s="299">
        <v>6</v>
      </c>
      <c r="B100" s="672">
        <v>300200700400000</v>
      </c>
      <c r="C100" s="300" t="s">
        <v>2074</v>
      </c>
      <c r="D100" s="311" t="s">
        <v>1238</v>
      </c>
      <c r="E100" s="322">
        <v>0</v>
      </c>
      <c r="F100" s="322"/>
      <c r="G100" s="322"/>
      <c r="H100" s="667"/>
    </row>
    <row r="101" spans="1:8" ht="24">
      <c r="A101" s="299">
        <v>6</v>
      </c>
      <c r="B101" s="672">
        <v>300200700500000</v>
      </c>
      <c r="C101" s="300" t="s">
        <v>2075</v>
      </c>
      <c r="D101" s="311" t="s">
        <v>1238</v>
      </c>
      <c r="E101" s="322"/>
      <c r="F101" s="322"/>
      <c r="G101" s="322"/>
      <c r="H101" s="667"/>
    </row>
    <row r="102" spans="1:8" ht="24">
      <c r="A102" s="299">
        <v>6</v>
      </c>
      <c r="B102" s="672">
        <v>300200700900000</v>
      </c>
      <c r="C102" s="300" t="s">
        <v>2076</v>
      </c>
      <c r="D102" s="311" t="s">
        <v>1238</v>
      </c>
      <c r="E102" s="322">
        <v>0</v>
      </c>
      <c r="F102" s="322"/>
      <c r="G102" s="322"/>
      <c r="H102" s="667"/>
    </row>
    <row r="103" spans="1:8">
      <c r="A103" s="309" t="s">
        <v>1944</v>
      </c>
      <c r="B103" s="673" t="s">
        <v>526</v>
      </c>
      <c r="C103" s="296" t="s">
        <v>2077</v>
      </c>
      <c r="D103" s="310"/>
      <c r="E103" s="319"/>
      <c r="F103" s="319"/>
      <c r="G103" s="319"/>
    </row>
    <row r="104" spans="1:8">
      <c r="A104" s="309" t="s">
        <v>1946</v>
      </c>
      <c r="B104" s="673" t="s">
        <v>527</v>
      </c>
      <c r="C104" s="296" t="s">
        <v>2078</v>
      </c>
      <c r="D104" s="310"/>
      <c r="E104" s="319"/>
      <c r="F104" s="319"/>
      <c r="G104" s="319"/>
    </row>
    <row r="105" spans="1:8">
      <c r="A105" s="309" t="s">
        <v>1948</v>
      </c>
      <c r="B105" s="673" t="s">
        <v>528</v>
      </c>
      <c r="C105" s="296" t="s">
        <v>2079</v>
      </c>
      <c r="D105" s="310"/>
      <c r="E105" s="319"/>
      <c r="F105" s="319"/>
      <c r="G105" s="319"/>
    </row>
    <row r="106" spans="1:8">
      <c r="A106" s="309" t="s">
        <v>1950</v>
      </c>
      <c r="B106" s="673" t="s">
        <v>529</v>
      </c>
      <c r="C106" s="296" t="s">
        <v>1406</v>
      </c>
      <c r="D106" s="310"/>
      <c r="E106" s="319"/>
      <c r="F106" s="319"/>
      <c r="G106" s="319"/>
    </row>
    <row r="107" spans="1:8">
      <c r="A107" s="309" t="s">
        <v>1951</v>
      </c>
      <c r="B107" s="673" t="s">
        <v>530</v>
      </c>
      <c r="C107" s="296" t="s">
        <v>1407</v>
      </c>
      <c r="D107" s="310"/>
      <c r="E107" s="319"/>
      <c r="F107" s="319"/>
      <c r="G107" s="319"/>
    </row>
    <row r="108" spans="1:8">
      <c r="A108" s="299">
        <v>8</v>
      </c>
      <c r="B108" s="672">
        <v>305100050101005</v>
      </c>
      <c r="C108" s="300" t="s">
        <v>2080</v>
      </c>
      <c r="D108" s="311"/>
      <c r="E108" s="322"/>
      <c r="F108" s="322"/>
      <c r="G108" s="322"/>
    </row>
    <row r="109" spans="1:8">
      <c r="A109" s="299">
        <v>8</v>
      </c>
      <c r="B109" s="672">
        <v>305100050101010</v>
      </c>
      <c r="C109" s="300" t="s">
        <v>2081</v>
      </c>
      <c r="D109" s="311"/>
      <c r="E109" s="322"/>
      <c r="F109" s="322"/>
      <c r="G109" s="322"/>
    </row>
    <row r="110" spans="1:8">
      <c r="A110" s="299">
        <v>8</v>
      </c>
      <c r="B110" s="672">
        <v>305100050101015</v>
      </c>
      <c r="C110" s="300" t="s">
        <v>2082</v>
      </c>
      <c r="D110" s="311"/>
      <c r="E110" s="322"/>
      <c r="F110" s="322"/>
      <c r="G110" s="322"/>
    </row>
    <row r="111" spans="1:8">
      <c r="A111" s="299">
        <v>8</v>
      </c>
      <c r="B111" s="672">
        <v>305100050101020</v>
      </c>
      <c r="C111" s="300" t="s">
        <v>2083</v>
      </c>
      <c r="D111" s="311"/>
      <c r="E111" s="322"/>
      <c r="F111" s="322"/>
      <c r="G111" s="322"/>
    </row>
    <row r="112" spans="1:8">
      <c r="A112" s="299">
        <v>8</v>
      </c>
      <c r="B112" s="672">
        <v>305100050101025</v>
      </c>
      <c r="C112" s="300" t="s">
        <v>2084</v>
      </c>
      <c r="D112" s="311"/>
      <c r="E112" s="322"/>
      <c r="F112" s="322"/>
      <c r="G112" s="322"/>
    </row>
    <row r="113" spans="1:7">
      <c r="A113" s="299">
        <v>8</v>
      </c>
      <c r="B113" s="672">
        <v>305100050101030</v>
      </c>
      <c r="C113" s="300" t="s">
        <v>2085</v>
      </c>
      <c r="D113" s="311"/>
      <c r="E113" s="322"/>
      <c r="F113" s="322"/>
      <c r="G113" s="322"/>
    </row>
    <row r="114" spans="1:7">
      <c r="A114" s="299">
        <v>8</v>
      </c>
      <c r="B114" s="672">
        <v>305100050101035</v>
      </c>
      <c r="C114" s="300" t="s">
        <v>2086</v>
      </c>
      <c r="D114" s="311"/>
      <c r="E114" s="322"/>
      <c r="F114" s="322"/>
      <c r="G114" s="322"/>
    </row>
    <row r="115" spans="1:7">
      <c r="A115" s="299">
        <v>8</v>
      </c>
      <c r="B115" s="672">
        <v>305100050101040</v>
      </c>
      <c r="C115" s="300" t="s">
        <v>2087</v>
      </c>
      <c r="D115" s="311"/>
      <c r="E115" s="322"/>
      <c r="F115" s="322"/>
      <c r="G115" s="322"/>
    </row>
    <row r="116" spans="1:7">
      <c r="A116" s="299">
        <v>8</v>
      </c>
      <c r="B116" s="672">
        <v>305100050101045</v>
      </c>
      <c r="C116" s="300" t="s">
        <v>2088</v>
      </c>
      <c r="D116" s="311"/>
      <c r="E116" s="322"/>
      <c r="F116" s="322"/>
      <c r="G116" s="322"/>
    </row>
    <row r="117" spans="1:7">
      <c r="A117" s="299">
        <v>8</v>
      </c>
      <c r="B117" s="672">
        <v>305100050101050</v>
      </c>
      <c r="C117" s="300" t="s">
        <v>2089</v>
      </c>
      <c r="D117" s="311"/>
      <c r="E117" s="322"/>
      <c r="F117" s="322"/>
      <c r="G117" s="322"/>
    </row>
    <row r="118" spans="1:7">
      <c r="A118" s="299">
        <v>8</v>
      </c>
      <c r="B118" s="672">
        <v>305100050101055</v>
      </c>
      <c r="C118" s="300" t="s">
        <v>2090</v>
      </c>
      <c r="D118" s="311"/>
      <c r="E118" s="322"/>
      <c r="F118" s="322"/>
      <c r="G118" s="322"/>
    </row>
    <row r="119" spans="1:7">
      <c r="A119" s="309" t="s">
        <v>1951</v>
      </c>
      <c r="B119" s="673" t="s">
        <v>531</v>
      </c>
      <c r="C119" s="296" t="s">
        <v>1408</v>
      </c>
      <c r="D119" s="310"/>
      <c r="E119" s="319"/>
      <c r="F119" s="319"/>
      <c r="G119" s="319"/>
    </row>
    <row r="120" spans="1:7">
      <c r="A120" s="299">
        <v>8</v>
      </c>
      <c r="B120" s="672">
        <v>305100050102005</v>
      </c>
      <c r="C120" s="300" t="s">
        <v>2091</v>
      </c>
      <c r="D120" s="311"/>
      <c r="E120" s="322"/>
      <c r="F120" s="322"/>
      <c r="G120" s="322"/>
    </row>
    <row r="121" spans="1:7">
      <c r="A121" s="299">
        <v>8</v>
      </c>
      <c r="B121" s="672">
        <v>305100050102010</v>
      </c>
      <c r="C121" s="300" t="s">
        <v>2092</v>
      </c>
      <c r="D121" s="311"/>
      <c r="E121" s="322"/>
      <c r="F121" s="322"/>
      <c r="G121" s="322"/>
    </row>
    <row r="122" spans="1:7">
      <c r="A122" s="299">
        <v>8</v>
      </c>
      <c r="B122" s="672">
        <v>305100050102015</v>
      </c>
      <c r="C122" s="300" t="s">
        <v>2093</v>
      </c>
      <c r="D122" s="311"/>
      <c r="E122" s="322"/>
      <c r="F122" s="322"/>
      <c r="G122" s="322"/>
    </row>
    <row r="123" spans="1:7">
      <c r="A123" s="299">
        <v>8</v>
      </c>
      <c r="B123" s="672">
        <v>305100050102020</v>
      </c>
      <c r="C123" s="300" t="s">
        <v>2094</v>
      </c>
      <c r="D123" s="311"/>
      <c r="E123" s="322"/>
      <c r="F123" s="322"/>
      <c r="G123" s="322"/>
    </row>
    <row r="124" spans="1:7">
      <c r="A124" s="299">
        <v>8</v>
      </c>
      <c r="B124" s="672">
        <v>305100050102025</v>
      </c>
      <c r="C124" s="300" t="s">
        <v>2095</v>
      </c>
      <c r="D124" s="311"/>
      <c r="E124" s="322"/>
      <c r="F124" s="322"/>
      <c r="G124" s="322"/>
    </row>
    <row r="125" spans="1:7">
      <c r="A125" s="299">
        <v>8</v>
      </c>
      <c r="B125" s="672">
        <v>305100050102030</v>
      </c>
      <c r="C125" s="300" t="s">
        <v>2096</v>
      </c>
      <c r="D125" s="311"/>
      <c r="E125" s="322"/>
      <c r="F125" s="322"/>
      <c r="G125" s="322"/>
    </row>
    <row r="126" spans="1:7">
      <c r="A126" s="299">
        <v>8</v>
      </c>
      <c r="B126" s="672">
        <v>305100050102035</v>
      </c>
      <c r="C126" s="300" t="s">
        <v>2097</v>
      </c>
      <c r="D126" s="311"/>
      <c r="E126" s="322"/>
      <c r="F126" s="322"/>
      <c r="G126" s="322"/>
    </row>
    <row r="127" spans="1:7">
      <c r="A127" s="299">
        <v>8</v>
      </c>
      <c r="B127" s="672">
        <v>305100050102040</v>
      </c>
      <c r="C127" s="300" t="s">
        <v>2098</v>
      </c>
      <c r="D127" s="311"/>
      <c r="E127" s="322"/>
      <c r="F127" s="322"/>
      <c r="G127" s="322"/>
    </row>
    <row r="128" spans="1:7">
      <c r="A128" s="299">
        <v>8</v>
      </c>
      <c r="B128" s="672">
        <v>305100050102045</v>
      </c>
      <c r="C128" s="300" t="s">
        <v>2099</v>
      </c>
      <c r="D128" s="311"/>
      <c r="E128" s="322"/>
      <c r="F128" s="322"/>
      <c r="G128" s="322"/>
    </row>
    <row r="129" spans="1:7">
      <c r="A129" s="299">
        <v>8</v>
      </c>
      <c r="B129" s="672">
        <v>305100050102050</v>
      </c>
      <c r="C129" s="300" t="s">
        <v>2100</v>
      </c>
      <c r="D129" s="311"/>
      <c r="E129" s="322"/>
      <c r="F129" s="322"/>
      <c r="G129" s="322"/>
    </row>
    <row r="130" spans="1:7">
      <c r="A130" s="299">
        <v>8</v>
      </c>
      <c r="B130" s="672">
        <v>305100050102055</v>
      </c>
      <c r="C130" s="300" t="s">
        <v>2101</v>
      </c>
      <c r="D130" s="311"/>
      <c r="E130" s="322"/>
      <c r="F130" s="322"/>
      <c r="G130" s="322"/>
    </row>
    <row r="131" spans="1:7">
      <c r="A131" s="309" t="s">
        <v>1951</v>
      </c>
      <c r="B131" s="673" t="s">
        <v>532</v>
      </c>
      <c r="C131" s="296" t="s">
        <v>1409</v>
      </c>
      <c r="D131" s="310"/>
      <c r="E131" s="319"/>
      <c r="F131" s="319"/>
      <c r="G131" s="319"/>
    </row>
    <row r="132" spans="1:7" ht="24">
      <c r="A132" s="299">
        <v>8</v>
      </c>
      <c r="B132" s="672">
        <v>305100050103005</v>
      </c>
      <c r="C132" s="300" t="s">
        <v>533</v>
      </c>
      <c r="D132" s="311"/>
      <c r="E132" s="322"/>
      <c r="F132" s="322"/>
      <c r="G132" s="322"/>
    </row>
    <row r="133" spans="1:7">
      <c r="A133" s="299">
        <v>8</v>
      </c>
      <c r="B133" s="672">
        <v>305100050103010</v>
      </c>
      <c r="C133" s="300" t="s">
        <v>534</v>
      </c>
      <c r="D133" s="311"/>
      <c r="E133" s="322"/>
      <c r="F133" s="322"/>
      <c r="G133" s="322"/>
    </row>
    <row r="134" spans="1:7">
      <c r="A134" s="299">
        <v>8</v>
      </c>
      <c r="B134" s="672">
        <v>305100050103015</v>
      </c>
      <c r="C134" s="300" t="s">
        <v>535</v>
      </c>
      <c r="D134" s="311"/>
      <c r="E134" s="322"/>
      <c r="F134" s="322"/>
      <c r="G134" s="322"/>
    </row>
    <row r="135" spans="1:7" ht="24">
      <c r="A135" s="299">
        <v>8</v>
      </c>
      <c r="B135" s="672">
        <v>305100050103020</v>
      </c>
      <c r="C135" s="300" t="s">
        <v>536</v>
      </c>
      <c r="D135" s="311"/>
      <c r="E135" s="322"/>
      <c r="F135" s="322"/>
      <c r="G135" s="322"/>
    </row>
    <row r="136" spans="1:7" ht="24">
      <c r="A136" s="299">
        <v>8</v>
      </c>
      <c r="B136" s="672">
        <v>305100050103025</v>
      </c>
      <c r="C136" s="300" t="s">
        <v>537</v>
      </c>
      <c r="D136" s="311"/>
      <c r="E136" s="322"/>
      <c r="F136" s="322"/>
      <c r="G136" s="322"/>
    </row>
    <row r="137" spans="1:7" ht="24">
      <c r="A137" s="299">
        <v>8</v>
      </c>
      <c r="B137" s="672">
        <v>305100050103030</v>
      </c>
      <c r="C137" s="300" t="s">
        <v>538</v>
      </c>
      <c r="D137" s="311"/>
      <c r="E137" s="322"/>
      <c r="F137" s="322"/>
      <c r="G137" s="322"/>
    </row>
    <row r="138" spans="1:7" ht="24">
      <c r="A138" s="299">
        <v>8</v>
      </c>
      <c r="B138" s="672">
        <v>305100050103035</v>
      </c>
      <c r="C138" s="300" t="s">
        <v>539</v>
      </c>
      <c r="D138" s="311"/>
      <c r="E138" s="322"/>
      <c r="F138" s="322"/>
      <c r="G138" s="322"/>
    </row>
    <row r="139" spans="1:7">
      <c r="A139" s="299">
        <v>8</v>
      </c>
      <c r="B139" s="672">
        <v>305100050103040</v>
      </c>
      <c r="C139" s="300" t="s">
        <v>2102</v>
      </c>
      <c r="D139" s="311"/>
      <c r="E139" s="322"/>
      <c r="F139" s="322"/>
      <c r="G139" s="322"/>
    </row>
    <row r="140" spans="1:7" ht="24">
      <c r="A140" s="299">
        <v>8</v>
      </c>
      <c r="B140" s="672">
        <v>305100050103045</v>
      </c>
      <c r="C140" s="300" t="s">
        <v>540</v>
      </c>
      <c r="D140" s="311"/>
      <c r="E140" s="322"/>
      <c r="F140" s="322"/>
      <c r="G140" s="322"/>
    </row>
    <row r="141" spans="1:7" ht="24">
      <c r="A141" s="299">
        <v>8</v>
      </c>
      <c r="B141" s="672">
        <v>305100050103050</v>
      </c>
      <c r="C141" s="300" t="s">
        <v>541</v>
      </c>
      <c r="D141" s="311"/>
      <c r="E141" s="322"/>
      <c r="F141" s="322"/>
      <c r="G141" s="322"/>
    </row>
    <row r="142" spans="1:7" ht="24">
      <c r="A142" s="299">
        <v>8</v>
      </c>
      <c r="B142" s="672">
        <v>305100050103055</v>
      </c>
      <c r="C142" s="300" t="s">
        <v>542</v>
      </c>
      <c r="D142" s="311"/>
      <c r="E142" s="322"/>
      <c r="F142" s="322"/>
      <c r="G142" s="322"/>
    </row>
    <row r="143" spans="1:7">
      <c r="A143" s="299">
        <v>8</v>
      </c>
      <c r="B143" s="672">
        <v>305100050103060</v>
      </c>
      <c r="C143" s="300" t="s">
        <v>543</v>
      </c>
      <c r="D143" s="311"/>
      <c r="E143" s="322"/>
      <c r="F143" s="322"/>
      <c r="G143" s="322"/>
    </row>
    <row r="144" spans="1:7">
      <c r="A144" s="299">
        <v>8</v>
      </c>
      <c r="B144" s="672">
        <v>305100050103065</v>
      </c>
      <c r="C144" s="300" t="s">
        <v>544</v>
      </c>
      <c r="D144" s="311"/>
      <c r="E144" s="322"/>
      <c r="F144" s="322"/>
      <c r="G144" s="322"/>
    </row>
    <row r="145" spans="1:7">
      <c r="A145" s="299">
        <v>8</v>
      </c>
      <c r="B145" s="672">
        <v>305100050103070</v>
      </c>
      <c r="C145" s="300" t="s">
        <v>545</v>
      </c>
      <c r="D145" s="311"/>
      <c r="E145" s="322"/>
      <c r="F145" s="322"/>
      <c r="G145" s="322"/>
    </row>
    <row r="146" spans="1:7" ht="25.5">
      <c r="A146" s="309" t="s">
        <v>1951</v>
      </c>
      <c r="B146" s="673" t="s">
        <v>546</v>
      </c>
      <c r="C146" s="296" t="s">
        <v>1410</v>
      </c>
      <c r="D146" s="310"/>
      <c r="E146" s="319"/>
      <c r="F146" s="319"/>
      <c r="G146" s="319"/>
    </row>
    <row r="147" spans="1:7">
      <c r="A147" s="299">
        <v>8</v>
      </c>
      <c r="B147" s="672">
        <v>305100050104005</v>
      </c>
      <c r="C147" s="300" t="s">
        <v>2103</v>
      </c>
      <c r="D147" s="311"/>
      <c r="E147" s="322"/>
      <c r="F147" s="322"/>
      <c r="G147" s="322"/>
    </row>
    <row r="148" spans="1:7" ht="24">
      <c r="A148" s="299">
        <v>8</v>
      </c>
      <c r="B148" s="672">
        <v>305100050104010</v>
      </c>
      <c r="C148" s="300" t="s">
        <v>2104</v>
      </c>
      <c r="D148" s="311"/>
      <c r="E148" s="322"/>
      <c r="F148" s="322"/>
      <c r="G148" s="322"/>
    </row>
    <row r="149" spans="1:7" ht="24">
      <c r="A149" s="299">
        <v>8</v>
      </c>
      <c r="B149" s="672">
        <v>305100050104015</v>
      </c>
      <c r="C149" s="300" t="s">
        <v>2105</v>
      </c>
      <c r="D149" s="311"/>
      <c r="E149" s="322"/>
      <c r="F149" s="322"/>
      <c r="G149" s="322"/>
    </row>
    <row r="150" spans="1:7" ht="24">
      <c r="A150" s="299">
        <v>8</v>
      </c>
      <c r="B150" s="672">
        <v>305100050104020</v>
      </c>
      <c r="C150" s="300" t="s">
        <v>2106</v>
      </c>
      <c r="D150" s="311"/>
      <c r="E150" s="322"/>
      <c r="F150" s="322"/>
      <c r="G150" s="322"/>
    </row>
    <row r="151" spans="1:7" ht="24">
      <c r="A151" s="299">
        <v>8</v>
      </c>
      <c r="B151" s="672">
        <v>305100050104025</v>
      </c>
      <c r="C151" s="300" t="s">
        <v>2107</v>
      </c>
      <c r="D151" s="311"/>
      <c r="E151" s="322"/>
      <c r="F151" s="322"/>
      <c r="G151" s="322"/>
    </row>
    <row r="152" spans="1:7">
      <c r="A152" s="299">
        <v>8</v>
      </c>
      <c r="B152" s="672">
        <v>305100050104030</v>
      </c>
      <c r="C152" s="300" t="s">
        <v>2108</v>
      </c>
      <c r="D152" s="311"/>
      <c r="E152" s="322"/>
      <c r="F152" s="322"/>
      <c r="G152" s="322"/>
    </row>
    <row r="153" spans="1:7">
      <c r="A153" s="299">
        <v>8</v>
      </c>
      <c r="B153" s="672">
        <v>305100050104035</v>
      </c>
      <c r="C153" s="300" t="s">
        <v>2109</v>
      </c>
      <c r="D153" s="311"/>
      <c r="E153" s="322"/>
      <c r="F153" s="322"/>
      <c r="G153" s="322"/>
    </row>
    <row r="154" spans="1:7">
      <c r="A154" s="299">
        <v>8</v>
      </c>
      <c r="B154" s="672">
        <v>305100050104040</v>
      </c>
      <c r="C154" s="300" t="s">
        <v>547</v>
      </c>
      <c r="D154" s="311"/>
      <c r="E154" s="322"/>
      <c r="F154" s="322"/>
      <c r="G154" s="322"/>
    </row>
    <row r="155" spans="1:7" ht="25.5">
      <c r="A155" s="309" t="s">
        <v>1950</v>
      </c>
      <c r="B155" s="673" t="s">
        <v>548</v>
      </c>
      <c r="C155" s="296" t="s">
        <v>1411</v>
      </c>
      <c r="D155" s="310" t="s">
        <v>1238</v>
      </c>
      <c r="E155" s="319"/>
      <c r="F155" s="319"/>
      <c r="G155" s="319"/>
    </row>
    <row r="156" spans="1:7" ht="24">
      <c r="A156" s="299" t="s">
        <v>1951</v>
      </c>
      <c r="B156" s="672">
        <v>305100050200000</v>
      </c>
      <c r="C156" s="300" t="s">
        <v>2110</v>
      </c>
      <c r="D156" s="311" t="s">
        <v>1238</v>
      </c>
      <c r="E156" s="322"/>
      <c r="F156" s="322"/>
      <c r="G156" s="322"/>
    </row>
    <row r="157" spans="1:7" ht="25.5">
      <c r="A157" s="309" t="s">
        <v>1950</v>
      </c>
      <c r="B157" s="673" t="s">
        <v>549</v>
      </c>
      <c r="C157" s="296" t="s">
        <v>1412</v>
      </c>
      <c r="D157" s="310"/>
      <c r="E157" s="319"/>
      <c r="F157" s="319"/>
      <c r="G157" s="319"/>
    </row>
    <row r="158" spans="1:7" ht="24">
      <c r="A158" s="299" t="s">
        <v>1951</v>
      </c>
      <c r="B158" s="672">
        <v>305100050300000</v>
      </c>
      <c r="C158" s="300" t="s">
        <v>2111</v>
      </c>
      <c r="D158" s="311"/>
      <c r="E158" s="322"/>
      <c r="F158" s="322"/>
      <c r="G158" s="322"/>
    </row>
    <row r="159" spans="1:7">
      <c r="A159" s="309" t="s">
        <v>1948</v>
      </c>
      <c r="B159" s="673" t="s">
        <v>550</v>
      </c>
      <c r="C159" s="296" t="s">
        <v>2112</v>
      </c>
      <c r="D159" s="310"/>
      <c r="E159" s="319"/>
      <c r="F159" s="319"/>
      <c r="G159" s="319"/>
    </row>
    <row r="160" spans="1:7">
      <c r="A160" s="309" t="s">
        <v>1950</v>
      </c>
      <c r="B160" s="673" t="s">
        <v>551</v>
      </c>
      <c r="C160" s="296" t="s">
        <v>1414</v>
      </c>
      <c r="D160" s="310"/>
      <c r="E160" s="319"/>
      <c r="F160" s="319"/>
      <c r="G160" s="319"/>
    </row>
    <row r="161" spans="1:7">
      <c r="A161" s="299">
        <v>7</v>
      </c>
      <c r="B161" s="672">
        <v>305100100101000</v>
      </c>
      <c r="C161" s="300" t="s">
        <v>552</v>
      </c>
      <c r="D161" s="311"/>
      <c r="E161" s="322">
        <v>0</v>
      </c>
      <c r="F161" s="322"/>
      <c r="G161" s="322"/>
    </row>
    <row r="162" spans="1:7">
      <c r="A162" s="299">
        <v>7</v>
      </c>
      <c r="B162" s="672">
        <v>305100100102000</v>
      </c>
      <c r="C162" s="300" t="s">
        <v>553</v>
      </c>
      <c r="D162" s="311"/>
      <c r="E162" s="322"/>
      <c r="F162" s="322"/>
      <c r="G162" s="322"/>
    </row>
    <row r="163" spans="1:7" ht="25.5">
      <c r="A163" s="309" t="s">
        <v>1950</v>
      </c>
      <c r="B163" s="673" t="s">
        <v>554</v>
      </c>
      <c r="C163" s="296" t="s">
        <v>1415</v>
      </c>
      <c r="D163" s="310" t="s">
        <v>1238</v>
      </c>
      <c r="E163" s="319"/>
      <c r="F163" s="319"/>
      <c r="G163" s="319"/>
    </row>
    <row r="164" spans="1:7" ht="24">
      <c r="A164" s="299" t="s">
        <v>1951</v>
      </c>
      <c r="B164" s="672">
        <v>305100100200000</v>
      </c>
      <c r="C164" s="300" t="s">
        <v>2113</v>
      </c>
      <c r="D164" s="311" t="s">
        <v>1238</v>
      </c>
      <c r="E164" s="322"/>
      <c r="F164" s="322"/>
      <c r="G164" s="322"/>
    </row>
    <row r="165" spans="1:7">
      <c r="A165" s="309" t="s">
        <v>1950</v>
      </c>
      <c r="B165" s="673" t="s">
        <v>555</v>
      </c>
      <c r="C165" s="296" t="s">
        <v>1416</v>
      </c>
      <c r="D165" s="310"/>
      <c r="E165" s="319"/>
      <c r="F165" s="319"/>
      <c r="G165" s="319"/>
    </row>
    <row r="166" spans="1:7">
      <c r="A166" s="299" t="s">
        <v>1951</v>
      </c>
      <c r="B166" s="672">
        <v>305100100300000</v>
      </c>
      <c r="C166" s="300" t="s">
        <v>2114</v>
      </c>
      <c r="D166" s="311"/>
      <c r="E166" s="322"/>
      <c r="F166" s="322"/>
      <c r="G166" s="322"/>
    </row>
    <row r="167" spans="1:7" ht="25.5">
      <c r="A167" s="309" t="s">
        <v>1948</v>
      </c>
      <c r="B167" s="673" t="s">
        <v>556</v>
      </c>
      <c r="C167" s="296" t="s">
        <v>2115</v>
      </c>
      <c r="D167" s="310"/>
      <c r="E167" s="319"/>
      <c r="F167" s="319"/>
      <c r="G167" s="319"/>
    </row>
    <row r="168" spans="1:7" ht="25.5">
      <c r="A168" s="309" t="s">
        <v>1950</v>
      </c>
      <c r="B168" s="673" t="s">
        <v>557</v>
      </c>
      <c r="C168" s="296" t="s">
        <v>1418</v>
      </c>
      <c r="D168" s="310" t="s">
        <v>1238</v>
      </c>
      <c r="E168" s="319"/>
      <c r="F168" s="319"/>
      <c r="G168" s="319"/>
    </row>
    <row r="169" spans="1:7">
      <c r="A169" s="299">
        <v>7</v>
      </c>
      <c r="B169" s="672">
        <v>305100150101000</v>
      </c>
      <c r="C169" s="300" t="s">
        <v>558</v>
      </c>
      <c r="D169" s="311" t="s">
        <v>1238</v>
      </c>
      <c r="E169" s="322"/>
      <c r="F169" s="322"/>
      <c r="G169" s="322"/>
    </row>
    <row r="170" spans="1:7" ht="24">
      <c r="A170" s="299">
        <v>7</v>
      </c>
      <c r="B170" s="672">
        <v>305100150102000</v>
      </c>
      <c r="C170" s="300" t="s">
        <v>559</v>
      </c>
      <c r="D170" s="311" t="s">
        <v>1238</v>
      </c>
      <c r="E170" s="322"/>
      <c r="F170" s="322">
        <v>588.6</v>
      </c>
      <c r="G170" s="322">
        <f>E170-F170</f>
        <v>-588.6</v>
      </c>
    </row>
    <row r="171" spans="1:7" ht="38.25">
      <c r="A171" s="309" t="s">
        <v>1950</v>
      </c>
      <c r="B171" s="673" t="s">
        <v>561</v>
      </c>
      <c r="C171" s="296" t="s">
        <v>2116</v>
      </c>
      <c r="D171" s="310" t="s">
        <v>1238</v>
      </c>
      <c r="E171" s="319"/>
      <c r="F171" s="319"/>
      <c r="G171" s="319"/>
    </row>
    <row r="172" spans="1:7" ht="24">
      <c r="A172" s="299" t="s">
        <v>1951</v>
      </c>
      <c r="B172" s="672">
        <v>305100150150000</v>
      </c>
      <c r="C172" s="300" t="s">
        <v>560</v>
      </c>
      <c r="D172" s="311" t="s">
        <v>1238</v>
      </c>
      <c r="E172" s="322"/>
      <c r="F172" s="322"/>
      <c r="G172" s="322"/>
    </row>
    <row r="173" spans="1:7" ht="38.25">
      <c r="A173" s="309" t="s">
        <v>1950</v>
      </c>
      <c r="B173" s="673" t="s">
        <v>562</v>
      </c>
      <c r="C173" s="296" t="s">
        <v>2117</v>
      </c>
      <c r="D173" s="310"/>
      <c r="E173" s="319"/>
      <c r="F173" s="319"/>
      <c r="G173" s="319"/>
    </row>
    <row r="174" spans="1:7" ht="24">
      <c r="A174" s="299" t="s">
        <v>1951</v>
      </c>
      <c r="B174" s="672">
        <v>305100150200000</v>
      </c>
      <c r="C174" s="300" t="s">
        <v>2118</v>
      </c>
      <c r="D174" s="311"/>
      <c r="E174" s="322"/>
      <c r="F174" s="322"/>
      <c r="G174" s="322"/>
    </row>
    <row r="175" spans="1:7" ht="25.5">
      <c r="A175" s="309" t="s">
        <v>1950</v>
      </c>
      <c r="B175" s="673" t="s">
        <v>564</v>
      </c>
      <c r="C175" s="296" t="s">
        <v>2119</v>
      </c>
      <c r="D175" s="310"/>
      <c r="E175" s="319"/>
      <c r="F175" s="319"/>
      <c r="G175" s="319"/>
    </row>
    <row r="176" spans="1:7" ht="24">
      <c r="A176" s="299" t="s">
        <v>1951</v>
      </c>
      <c r="B176" s="672">
        <v>305100150250000</v>
      </c>
      <c r="C176" s="300" t="s">
        <v>563</v>
      </c>
      <c r="D176" s="311"/>
      <c r="E176" s="322"/>
      <c r="F176" s="322"/>
      <c r="G176" s="322"/>
    </row>
    <row r="177" spans="1:7">
      <c r="A177" s="309" t="s">
        <v>1950</v>
      </c>
      <c r="B177" s="673" t="s">
        <v>565</v>
      </c>
      <c r="C177" s="296" t="s">
        <v>1422</v>
      </c>
      <c r="D177" s="310"/>
      <c r="E177" s="319"/>
      <c r="F177" s="319"/>
      <c r="G177" s="319"/>
    </row>
    <row r="178" spans="1:7" ht="24">
      <c r="A178" s="299">
        <v>7</v>
      </c>
      <c r="B178" s="672">
        <v>305100150301000</v>
      </c>
      <c r="C178" s="300" t="s">
        <v>566</v>
      </c>
      <c r="D178" s="311"/>
      <c r="E178" s="322"/>
      <c r="F178" s="322"/>
      <c r="G178" s="322"/>
    </row>
    <row r="179" spans="1:7" ht="25.5">
      <c r="A179" s="309" t="s">
        <v>1950</v>
      </c>
      <c r="B179" s="673" t="s">
        <v>569</v>
      </c>
      <c r="C179" s="296" t="s">
        <v>2120</v>
      </c>
      <c r="D179" s="310"/>
      <c r="E179" s="319"/>
      <c r="F179" s="319"/>
      <c r="G179" s="319"/>
    </row>
    <row r="180" spans="1:7" ht="24">
      <c r="A180" s="299" t="s">
        <v>1951</v>
      </c>
      <c r="B180" s="672">
        <v>305100150350000</v>
      </c>
      <c r="C180" s="300" t="s">
        <v>568</v>
      </c>
      <c r="D180" s="311"/>
      <c r="E180" s="322"/>
      <c r="F180" s="322"/>
      <c r="G180" s="322"/>
    </row>
    <row r="181" spans="1:7">
      <c r="A181" s="309" t="s">
        <v>1950</v>
      </c>
      <c r="B181" s="673" t="s">
        <v>570</v>
      </c>
      <c r="C181" s="296" t="s">
        <v>1424</v>
      </c>
      <c r="D181" s="310"/>
      <c r="E181" s="319"/>
      <c r="F181" s="319"/>
      <c r="G181" s="319"/>
    </row>
    <row r="182" spans="1:7">
      <c r="A182" s="299">
        <v>7</v>
      </c>
      <c r="B182" s="672">
        <v>305100150401000</v>
      </c>
      <c r="C182" s="300" t="s">
        <v>2121</v>
      </c>
      <c r="D182" s="311"/>
      <c r="E182" s="322"/>
      <c r="F182" s="322"/>
      <c r="G182" s="322"/>
    </row>
    <row r="183" spans="1:7">
      <c r="A183" s="299">
        <v>7</v>
      </c>
      <c r="B183" s="672">
        <v>305100150402000</v>
      </c>
      <c r="C183" s="300" t="s">
        <v>2122</v>
      </c>
      <c r="D183" s="311"/>
      <c r="E183" s="322"/>
      <c r="F183" s="322"/>
      <c r="G183" s="322"/>
    </row>
    <row r="184" spans="1:7">
      <c r="A184" s="299">
        <v>7</v>
      </c>
      <c r="B184" s="672">
        <v>305100150403000</v>
      </c>
      <c r="C184" s="300" t="s">
        <v>2123</v>
      </c>
      <c r="D184" s="311"/>
      <c r="E184" s="322"/>
      <c r="F184" s="322"/>
      <c r="G184" s="322"/>
    </row>
    <row r="185" spans="1:7">
      <c r="A185" s="299">
        <v>7</v>
      </c>
      <c r="B185" s="672">
        <v>305100150404000</v>
      </c>
      <c r="C185" s="300" t="s">
        <v>2124</v>
      </c>
      <c r="D185" s="311"/>
      <c r="E185" s="322"/>
      <c r="F185" s="322"/>
      <c r="G185" s="322"/>
    </row>
    <row r="186" spans="1:7">
      <c r="A186" s="299">
        <v>7</v>
      </c>
      <c r="B186" s="672">
        <v>305100150405000</v>
      </c>
      <c r="C186" s="300" t="s">
        <v>2125</v>
      </c>
      <c r="D186" s="311"/>
      <c r="E186" s="322"/>
      <c r="F186" s="322"/>
      <c r="G186" s="322"/>
    </row>
    <row r="187" spans="1:7">
      <c r="A187" s="299">
        <v>7</v>
      </c>
      <c r="B187" s="672">
        <v>305100150406000</v>
      </c>
      <c r="C187" s="300" t="s">
        <v>2126</v>
      </c>
      <c r="D187" s="311"/>
      <c r="E187" s="322"/>
      <c r="F187" s="322"/>
      <c r="G187" s="322"/>
    </row>
    <row r="188" spans="1:7">
      <c r="A188" s="299">
        <v>7</v>
      </c>
      <c r="B188" s="672">
        <v>305100150407000</v>
      </c>
      <c r="C188" s="300" t="s">
        <v>2127</v>
      </c>
      <c r="D188" s="311"/>
      <c r="E188" s="322"/>
      <c r="F188" s="322"/>
      <c r="G188" s="322"/>
    </row>
    <row r="189" spans="1:7">
      <c r="A189" s="309" t="s">
        <v>1950</v>
      </c>
      <c r="B189" s="673" t="s">
        <v>571</v>
      </c>
      <c r="C189" s="296" t="s">
        <v>1425</v>
      </c>
      <c r="D189" s="310"/>
      <c r="E189" s="319"/>
      <c r="F189" s="319"/>
      <c r="G189" s="319"/>
    </row>
    <row r="190" spans="1:7" ht="25.5">
      <c r="A190" s="309" t="s">
        <v>1951</v>
      </c>
      <c r="B190" s="673" t="s">
        <v>573</v>
      </c>
      <c r="C190" s="296" t="s">
        <v>1426</v>
      </c>
      <c r="D190" s="310"/>
      <c r="E190" s="319"/>
      <c r="F190" s="319"/>
      <c r="G190" s="319"/>
    </row>
    <row r="191" spans="1:7" ht="24">
      <c r="A191" s="299" t="s">
        <v>1998</v>
      </c>
      <c r="B191" s="672">
        <v>305100150501000</v>
      </c>
      <c r="C191" s="300" t="s">
        <v>572</v>
      </c>
      <c r="D191" s="311"/>
      <c r="E191" s="322"/>
      <c r="F191" s="322"/>
      <c r="G191" s="322"/>
    </row>
    <row r="192" spans="1:7" ht="38.25">
      <c r="A192" s="309" t="s">
        <v>1951</v>
      </c>
      <c r="B192" s="673" t="s">
        <v>574</v>
      </c>
      <c r="C192" s="296" t="s">
        <v>2128</v>
      </c>
      <c r="D192" s="310"/>
      <c r="E192" s="319"/>
      <c r="F192" s="319"/>
      <c r="G192" s="319"/>
    </row>
    <row r="193" spans="1:7" ht="24">
      <c r="A193" s="299" t="s">
        <v>1998</v>
      </c>
      <c r="B193" s="672">
        <v>305100150501500</v>
      </c>
      <c r="C193" s="300" t="s">
        <v>2129</v>
      </c>
      <c r="D193" s="311"/>
      <c r="E193" s="322"/>
      <c r="F193" s="322"/>
      <c r="G193" s="322"/>
    </row>
    <row r="194" spans="1:7" ht="25.5">
      <c r="A194" s="309" t="s">
        <v>1951</v>
      </c>
      <c r="B194" s="673" t="s">
        <v>576</v>
      </c>
      <c r="C194" s="296" t="s">
        <v>1428</v>
      </c>
      <c r="D194" s="310"/>
      <c r="E194" s="319"/>
      <c r="F194" s="319"/>
      <c r="G194" s="319"/>
    </row>
    <row r="195" spans="1:7" ht="24">
      <c r="A195" s="299" t="s">
        <v>1998</v>
      </c>
      <c r="B195" s="672">
        <v>305100150502000</v>
      </c>
      <c r="C195" s="300" t="s">
        <v>575</v>
      </c>
      <c r="D195" s="311"/>
      <c r="E195" s="322"/>
      <c r="F195" s="322"/>
      <c r="G195" s="322"/>
    </row>
    <row r="196" spans="1:7" ht="38.25">
      <c r="A196" s="309" t="s">
        <v>1951</v>
      </c>
      <c r="B196" s="673" t="s">
        <v>578</v>
      </c>
      <c r="C196" s="296" t="s">
        <v>2130</v>
      </c>
      <c r="D196" s="310"/>
      <c r="E196" s="319"/>
      <c r="F196" s="319"/>
      <c r="G196" s="319"/>
    </row>
    <row r="197" spans="1:7" ht="24">
      <c r="A197" s="299" t="s">
        <v>1998</v>
      </c>
      <c r="B197" s="672">
        <v>305100150502500</v>
      </c>
      <c r="C197" s="300" t="s">
        <v>577</v>
      </c>
      <c r="D197" s="311"/>
      <c r="E197" s="322"/>
      <c r="F197" s="322"/>
      <c r="G197" s="322"/>
    </row>
    <row r="198" spans="1:7" ht="25.5">
      <c r="A198" s="309" t="s">
        <v>1951</v>
      </c>
      <c r="B198" s="673" t="s">
        <v>580</v>
      </c>
      <c r="C198" s="296" t="s">
        <v>1430</v>
      </c>
      <c r="D198" s="310"/>
      <c r="E198" s="319"/>
      <c r="F198" s="319"/>
      <c r="G198" s="319"/>
    </row>
    <row r="199" spans="1:7" ht="24">
      <c r="A199" s="299" t="s">
        <v>1998</v>
      </c>
      <c r="B199" s="672">
        <v>305100150503000</v>
      </c>
      <c r="C199" s="300" t="s">
        <v>579</v>
      </c>
      <c r="D199" s="311"/>
      <c r="E199" s="322">
        <v>237.97</v>
      </c>
      <c r="F199" s="322">
        <v>370.74</v>
      </c>
      <c r="G199" s="322">
        <f>E199-F199</f>
        <v>-132.77000000000001</v>
      </c>
    </row>
    <row r="200" spans="1:7" ht="25.5">
      <c r="A200" s="309" t="s">
        <v>1951</v>
      </c>
      <c r="B200" s="673" t="s">
        <v>582</v>
      </c>
      <c r="C200" s="296" t="s">
        <v>2131</v>
      </c>
      <c r="D200" s="310"/>
      <c r="E200" s="319"/>
      <c r="F200" s="319"/>
      <c r="G200" s="319"/>
    </row>
    <row r="201" spans="1:7" ht="24">
      <c r="A201" s="299" t="s">
        <v>1998</v>
      </c>
      <c r="B201" s="672">
        <v>305100150503500</v>
      </c>
      <c r="C201" s="300" t="s">
        <v>581</v>
      </c>
      <c r="D201" s="311"/>
      <c r="E201" s="322"/>
      <c r="F201" s="322"/>
      <c r="G201" s="322"/>
    </row>
    <row r="202" spans="1:7" ht="25.5">
      <c r="A202" s="309" t="s">
        <v>1951</v>
      </c>
      <c r="B202" s="673" t="s">
        <v>584</v>
      </c>
      <c r="C202" s="296" t="s">
        <v>1432</v>
      </c>
      <c r="D202" s="310"/>
      <c r="E202" s="319"/>
      <c r="F202" s="319"/>
      <c r="G202" s="319"/>
    </row>
    <row r="203" spans="1:7">
      <c r="A203" s="299" t="s">
        <v>1998</v>
      </c>
      <c r="B203" s="672">
        <v>305100150504000</v>
      </c>
      <c r="C203" s="300" t="s">
        <v>583</v>
      </c>
      <c r="D203" s="311"/>
      <c r="E203" s="322"/>
      <c r="F203" s="322"/>
      <c r="G203" s="322"/>
    </row>
    <row r="204" spans="1:7" ht="25.5">
      <c r="A204" s="309" t="s">
        <v>1951</v>
      </c>
      <c r="B204" s="673" t="s">
        <v>586</v>
      </c>
      <c r="C204" s="296" t="s">
        <v>2132</v>
      </c>
      <c r="D204" s="310"/>
      <c r="E204" s="319"/>
      <c r="F204" s="319"/>
      <c r="G204" s="319"/>
    </row>
    <row r="205" spans="1:7" ht="24">
      <c r="A205" s="299" t="s">
        <v>1998</v>
      </c>
      <c r="B205" s="672">
        <v>305100150504500</v>
      </c>
      <c r="C205" s="300" t="s">
        <v>585</v>
      </c>
      <c r="D205" s="311"/>
      <c r="E205" s="322"/>
      <c r="F205" s="322"/>
      <c r="G205" s="322"/>
    </row>
    <row r="206" spans="1:7" ht="25.5">
      <c r="A206" s="309" t="s">
        <v>1950</v>
      </c>
      <c r="B206" s="673" t="s">
        <v>587</v>
      </c>
      <c r="C206" s="296" t="s">
        <v>1434</v>
      </c>
      <c r="D206" s="310"/>
      <c r="E206" s="319"/>
      <c r="F206" s="319"/>
      <c r="G206" s="319"/>
    </row>
    <row r="207" spans="1:7" ht="36">
      <c r="A207" s="299" t="s">
        <v>1951</v>
      </c>
      <c r="B207" s="672">
        <v>305100150600000</v>
      </c>
      <c r="C207" s="300" t="s">
        <v>2133</v>
      </c>
      <c r="D207" s="311"/>
      <c r="E207" s="322"/>
      <c r="F207" s="322"/>
      <c r="G207" s="322"/>
    </row>
    <row r="208" spans="1:7" ht="51">
      <c r="A208" s="309" t="s">
        <v>1950</v>
      </c>
      <c r="B208" s="673" t="s">
        <v>589</v>
      </c>
      <c r="C208" s="296" t="s">
        <v>2134</v>
      </c>
      <c r="D208" s="310"/>
      <c r="E208" s="319"/>
      <c r="F208" s="319"/>
      <c r="G208" s="319"/>
    </row>
    <row r="209" spans="1:7" ht="36">
      <c r="A209" s="299" t="s">
        <v>1951</v>
      </c>
      <c r="B209" s="672">
        <v>305100150700000</v>
      </c>
      <c r="C209" s="300" t="s">
        <v>588</v>
      </c>
      <c r="D209" s="311"/>
      <c r="E209" s="322"/>
      <c r="F209" s="322"/>
      <c r="G209" s="322"/>
    </row>
    <row r="210" spans="1:7">
      <c r="A210" s="309" t="s">
        <v>1948</v>
      </c>
      <c r="B210" s="673" t="s">
        <v>590</v>
      </c>
      <c r="C210" s="296" t="s">
        <v>2135</v>
      </c>
      <c r="D210" s="310"/>
      <c r="E210" s="319"/>
      <c r="F210" s="319"/>
      <c r="G210" s="319"/>
    </row>
    <row r="211" spans="1:7" ht="25.5">
      <c r="A211" s="309" t="s">
        <v>1950</v>
      </c>
      <c r="B211" s="673" t="s">
        <v>591</v>
      </c>
      <c r="C211" s="296" t="s">
        <v>1437</v>
      </c>
      <c r="D211" s="310" t="s">
        <v>1238</v>
      </c>
      <c r="E211" s="319"/>
      <c r="F211" s="319"/>
      <c r="G211" s="319"/>
    </row>
    <row r="212" spans="1:7" ht="24">
      <c r="A212" s="299" t="s">
        <v>1951</v>
      </c>
      <c r="B212" s="672">
        <v>305100200100000</v>
      </c>
      <c r="C212" s="300" t="s">
        <v>2136</v>
      </c>
      <c r="D212" s="311" t="s">
        <v>1238</v>
      </c>
      <c r="E212" s="322"/>
      <c r="F212" s="322"/>
      <c r="G212" s="322"/>
    </row>
    <row r="213" spans="1:7">
      <c r="A213" s="309" t="s">
        <v>1950</v>
      </c>
      <c r="B213" s="673" t="s">
        <v>592</v>
      </c>
      <c r="C213" s="296" t="s">
        <v>1438</v>
      </c>
      <c r="D213" s="310"/>
      <c r="E213" s="319"/>
      <c r="F213" s="319"/>
      <c r="G213" s="319"/>
    </row>
    <row r="214" spans="1:7" ht="24">
      <c r="A214" s="299" t="s">
        <v>1951</v>
      </c>
      <c r="B214" s="672">
        <v>305100200200000</v>
      </c>
      <c r="C214" s="300" t="s">
        <v>2137</v>
      </c>
      <c r="D214" s="311"/>
      <c r="E214" s="322"/>
      <c r="F214" s="322"/>
      <c r="G214" s="322"/>
    </row>
    <row r="215" spans="1:7" ht="25.5">
      <c r="A215" s="309" t="s">
        <v>1950</v>
      </c>
      <c r="B215" s="673" t="s">
        <v>593</v>
      </c>
      <c r="C215" s="296" t="s">
        <v>1439</v>
      </c>
      <c r="D215" s="310"/>
      <c r="E215" s="319"/>
      <c r="F215" s="319"/>
      <c r="G215" s="319"/>
    </row>
    <row r="216" spans="1:7" ht="24">
      <c r="A216" s="299" t="s">
        <v>1951</v>
      </c>
      <c r="B216" s="672">
        <v>305100200300000</v>
      </c>
      <c r="C216" s="300" t="s">
        <v>2138</v>
      </c>
      <c r="D216" s="311"/>
      <c r="E216" s="322"/>
      <c r="F216" s="322"/>
      <c r="G216" s="322"/>
    </row>
    <row r="217" spans="1:7">
      <c r="A217" s="309" t="s">
        <v>1950</v>
      </c>
      <c r="B217" s="673" t="s">
        <v>594</v>
      </c>
      <c r="C217" s="296" t="s">
        <v>1440</v>
      </c>
      <c r="D217" s="310"/>
      <c r="E217" s="319"/>
      <c r="F217" s="319"/>
      <c r="G217" s="319"/>
    </row>
    <row r="218" spans="1:7" ht="24">
      <c r="A218" s="299">
        <v>7</v>
      </c>
      <c r="B218" s="672">
        <v>305100200401000</v>
      </c>
      <c r="C218" s="300" t="s">
        <v>2139</v>
      </c>
      <c r="D218" s="311"/>
      <c r="E218" s="322"/>
      <c r="F218" s="322"/>
      <c r="G218" s="322"/>
    </row>
    <row r="219" spans="1:7" ht="24">
      <c r="A219" s="299">
        <v>7</v>
      </c>
      <c r="B219" s="672">
        <v>305100200402000</v>
      </c>
      <c r="C219" s="300" t="s">
        <v>2140</v>
      </c>
      <c r="D219" s="311"/>
      <c r="E219" s="322"/>
      <c r="F219" s="322"/>
      <c r="G219" s="322"/>
    </row>
    <row r="220" spans="1:7">
      <c r="A220" s="309" t="s">
        <v>1950</v>
      </c>
      <c r="B220" s="673" t="s">
        <v>595</v>
      </c>
      <c r="C220" s="296" t="s">
        <v>1441</v>
      </c>
      <c r="D220" s="310"/>
      <c r="E220" s="319"/>
      <c r="F220" s="319"/>
      <c r="G220" s="319"/>
    </row>
    <row r="221" spans="1:7" ht="24">
      <c r="A221" s="299">
        <v>7</v>
      </c>
      <c r="B221" s="672">
        <v>305100200501000</v>
      </c>
      <c r="C221" s="300" t="s">
        <v>2141</v>
      </c>
      <c r="D221" s="311"/>
      <c r="E221" s="322"/>
      <c r="F221" s="322"/>
      <c r="G221" s="322"/>
    </row>
    <row r="222" spans="1:7" ht="24">
      <c r="A222" s="299">
        <v>7</v>
      </c>
      <c r="B222" s="672">
        <v>305100200502000</v>
      </c>
      <c r="C222" s="300" t="s">
        <v>2142</v>
      </c>
      <c r="D222" s="311"/>
      <c r="E222" s="322"/>
      <c r="F222" s="322"/>
      <c r="G222" s="322"/>
    </row>
    <row r="223" spans="1:7">
      <c r="A223" s="309" t="s">
        <v>1948</v>
      </c>
      <c r="B223" s="673" t="s">
        <v>596</v>
      </c>
      <c r="C223" s="296" t="s">
        <v>2143</v>
      </c>
      <c r="D223" s="310"/>
      <c r="E223" s="319"/>
      <c r="F223" s="319"/>
      <c r="G223" s="319"/>
    </row>
    <row r="224" spans="1:7" ht="25.5">
      <c r="A224" s="309" t="s">
        <v>1950</v>
      </c>
      <c r="B224" s="673" t="s">
        <v>597</v>
      </c>
      <c r="C224" s="296" t="s">
        <v>1443</v>
      </c>
      <c r="D224" s="310" t="s">
        <v>1238</v>
      </c>
      <c r="E224" s="319"/>
      <c r="F224" s="319"/>
      <c r="G224" s="319"/>
    </row>
    <row r="225" spans="1:7" ht="24">
      <c r="A225" s="299" t="s">
        <v>1951</v>
      </c>
      <c r="B225" s="672">
        <v>305100250100000</v>
      </c>
      <c r="C225" s="300" t="s">
        <v>2144</v>
      </c>
      <c r="D225" s="311" t="s">
        <v>1238</v>
      </c>
      <c r="E225" s="322"/>
      <c r="F225" s="322"/>
      <c r="G225" s="322"/>
    </row>
    <row r="226" spans="1:7">
      <c r="A226" s="309" t="s">
        <v>1950</v>
      </c>
      <c r="B226" s="673" t="s">
        <v>598</v>
      </c>
      <c r="C226" s="296" t="s">
        <v>1444</v>
      </c>
      <c r="D226" s="310"/>
      <c r="E226" s="319"/>
      <c r="F226" s="319"/>
      <c r="G226" s="319"/>
    </row>
    <row r="227" spans="1:7" ht="24">
      <c r="A227" s="299" t="s">
        <v>1951</v>
      </c>
      <c r="B227" s="672">
        <v>305100250200000</v>
      </c>
      <c r="C227" s="300" t="s">
        <v>2145</v>
      </c>
      <c r="D227" s="311"/>
      <c r="E227" s="322"/>
      <c r="F227" s="322"/>
      <c r="G227" s="322"/>
    </row>
    <row r="228" spans="1:7">
      <c r="A228" s="309" t="s">
        <v>1950</v>
      </c>
      <c r="B228" s="673" t="s">
        <v>599</v>
      </c>
      <c r="C228" s="296" t="s">
        <v>1445</v>
      </c>
      <c r="D228" s="310"/>
      <c r="E228" s="319"/>
      <c r="F228" s="319"/>
      <c r="G228" s="319"/>
    </row>
    <row r="229" spans="1:7" ht="24">
      <c r="A229" s="299" t="s">
        <v>1951</v>
      </c>
      <c r="B229" s="672">
        <v>305100250300000</v>
      </c>
      <c r="C229" s="300" t="s">
        <v>2146</v>
      </c>
      <c r="D229" s="311"/>
      <c r="E229" s="322"/>
      <c r="F229" s="322"/>
      <c r="G229" s="322"/>
    </row>
    <row r="230" spans="1:7">
      <c r="A230" s="309" t="s">
        <v>1950</v>
      </c>
      <c r="B230" s="673" t="s">
        <v>600</v>
      </c>
      <c r="C230" s="296" t="s">
        <v>1446</v>
      </c>
      <c r="D230" s="310"/>
      <c r="E230" s="319"/>
      <c r="F230" s="319"/>
      <c r="G230" s="319"/>
    </row>
    <row r="231" spans="1:7">
      <c r="A231" s="299">
        <v>7</v>
      </c>
      <c r="B231" s="672">
        <v>305100250401000</v>
      </c>
      <c r="C231" s="300" t="s">
        <v>601</v>
      </c>
      <c r="D231" s="311"/>
      <c r="E231" s="322"/>
      <c r="F231" s="322"/>
      <c r="G231" s="322"/>
    </row>
    <row r="232" spans="1:7">
      <c r="A232" s="299">
        <v>7</v>
      </c>
      <c r="B232" s="672">
        <v>305100250402000</v>
      </c>
      <c r="C232" s="300" t="s">
        <v>602</v>
      </c>
      <c r="D232" s="311"/>
      <c r="E232" s="322"/>
      <c r="F232" s="322"/>
      <c r="G232" s="322"/>
    </row>
    <row r="233" spans="1:7">
      <c r="A233" s="299">
        <v>7</v>
      </c>
      <c r="B233" s="672">
        <v>305100250409000</v>
      </c>
      <c r="C233" s="300" t="s">
        <v>604</v>
      </c>
      <c r="D233" s="311"/>
      <c r="E233" s="322"/>
      <c r="F233" s="322"/>
      <c r="G233" s="322"/>
    </row>
    <row r="234" spans="1:7">
      <c r="A234" s="309" t="s">
        <v>1948</v>
      </c>
      <c r="B234" s="673" t="s">
        <v>1447</v>
      </c>
      <c r="C234" s="296" t="s">
        <v>2147</v>
      </c>
      <c r="D234" s="310"/>
      <c r="E234" s="319"/>
      <c r="F234" s="319"/>
      <c r="G234" s="319"/>
    </row>
    <row r="235" spans="1:7" ht="25.5">
      <c r="A235" s="309" t="s">
        <v>1950</v>
      </c>
      <c r="B235" s="673" t="s">
        <v>605</v>
      </c>
      <c r="C235" s="296" t="s">
        <v>1449</v>
      </c>
      <c r="D235" s="310" t="s">
        <v>1238</v>
      </c>
      <c r="E235" s="319"/>
      <c r="F235" s="319"/>
      <c r="G235" s="319"/>
    </row>
    <row r="236" spans="1:7" ht="24">
      <c r="A236" s="299" t="s">
        <v>1951</v>
      </c>
      <c r="B236" s="672">
        <v>305100300100000</v>
      </c>
      <c r="C236" s="300" t="s">
        <v>2148</v>
      </c>
      <c r="D236" s="311" t="s">
        <v>1238</v>
      </c>
      <c r="E236" s="322"/>
      <c r="F236" s="322"/>
      <c r="G236" s="322"/>
    </row>
    <row r="237" spans="1:7">
      <c r="A237" s="309" t="s">
        <v>1950</v>
      </c>
      <c r="B237" s="673" t="s">
        <v>606</v>
      </c>
      <c r="C237" s="296" t="s">
        <v>1450</v>
      </c>
      <c r="D237" s="310"/>
      <c r="E237" s="319"/>
      <c r="F237" s="319"/>
      <c r="G237" s="319"/>
    </row>
    <row r="238" spans="1:7" ht="24">
      <c r="A238" s="299" t="s">
        <v>1951</v>
      </c>
      <c r="B238" s="672">
        <v>305100300200000</v>
      </c>
      <c r="C238" s="300" t="s">
        <v>2149</v>
      </c>
      <c r="D238" s="311"/>
      <c r="E238" s="322"/>
      <c r="F238" s="322"/>
      <c r="G238" s="322"/>
    </row>
    <row r="239" spans="1:7">
      <c r="A239" s="309" t="s">
        <v>1950</v>
      </c>
      <c r="B239" s="673" t="s">
        <v>607</v>
      </c>
      <c r="C239" s="296" t="s">
        <v>1451</v>
      </c>
      <c r="D239" s="310"/>
      <c r="E239" s="319"/>
      <c r="F239" s="319"/>
      <c r="G239" s="319"/>
    </row>
    <row r="240" spans="1:7" ht="24">
      <c r="A240" s="299" t="s">
        <v>1951</v>
      </c>
      <c r="B240" s="672">
        <v>305100300300000</v>
      </c>
      <c r="C240" s="300" t="s">
        <v>2150</v>
      </c>
      <c r="D240" s="311"/>
      <c r="E240" s="322"/>
      <c r="F240" s="322"/>
      <c r="G240" s="322"/>
    </row>
    <row r="241" spans="1:7">
      <c r="A241" s="309" t="s">
        <v>1950</v>
      </c>
      <c r="B241" s="673" t="s">
        <v>608</v>
      </c>
      <c r="C241" s="296" t="s">
        <v>1452</v>
      </c>
      <c r="D241" s="310"/>
      <c r="E241" s="319"/>
      <c r="F241" s="319"/>
      <c r="G241" s="319"/>
    </row>
    <row r="242" spans="1:7">
      <c r="A242" s="299">
        <v>7</v>
      </c>
      <c r="B242" s="672">
        <v>305100300401000</v>
      </c>
      <c r="C242" s="300" t="s">
        <v>609</v>
      </c>
      <c r="D242" s="311"/>
      <c r="E242" s="322"/>
      <c r="F242" s="322"/>
      <c r="G242" s="322"/>
    </row>
    <row r="243" spans="1:7">
      <c r="A243" s="299">
        <v>7</v>
      </c>
      <c r="B243" s="672">
        <v>305100300402000</v>
      </c>
      <c r="C243" s="300" t="s">
        <v>610</v>
      </c>
      <c r="D243" s="311"/>
      <c r="E243" s="322"/>
      <c r="F243" s="322"/>
      <c r="G243" s="322"/>
    </row>
    <row r="244" spans="1:7">
      <c r="A244" s="309" t="s">
        <v>1948</v>
      </c>
      <c r="B244" s="673" t="s">
        <v>611</v>
      </c>
      <c r="C244" s="296" t="s">
        <v>2151</v>
      </c>
      <c r="D244" s="310"/>
      <c r="E244" s="319"/>
      <c r="F244" s="319"/>
      <c r="G244" s="319"/>
    </row>
    <row r="245" spans="1:7" ht="25.5">
      <c r="A245" s="309" t="s">
        <v>1950</v>
      </c>
      <c r="B245" s="673" t="s">
        <v>612</v>
      </c>
      <c r="C245" s="296" t="s">
        <v>1454</v>
      </c>
      <c r="D245" s="310" t="s">
        <v>1238</v>
      </c>
      <c r="E245" s="319"/>
      <c r="F245" s="319"/>
      <c r="G245" s="319"/>
    </row>
    <row r="246" spans="1:7">
      <c r="A246" s="299">
        <v>7</v>
      </c>
      <c r="B246" s="672">
        <v>305100350101000</v>
      </c>
      <c r="C246" s="300" t="s">
        <v>613</v>
      </c>
      <c r="D246" s="311" t="s">
        <v>1238</v>
      </c>
      <c r="E246" s="322"/>
      <c r="F246" s="322"/>
      <c r="G246" s="322"/>
    </row>
    <row r="247" spans="1:7" ht="24">
      <c r="A247" s="299">
        <v>7</v>
      </c>
      <c r="B247" s="672">
        <v>305100350102000</v>
      </c>
      <c r="C247" s="300" t="s">
        <v>614</v>
      </c>
      <c r="D247" s="311" t="s">
        <v>1238</v>
      </c>
      <c r="E247" s="322"/>
      <c r="F247" s="322"/>
      <c r="G247" s="322"/>
    </row>
    <row r="248" spans="1:7">
      <c r="A248" s="309" t="s">
        <v>1950</v>
      </c>
      <c r="B248" s="673" t="s">
        <v>615</v>
      </c>
      <c r="C248" s="296" t="s">
        <v>1455</v>
      </c>
      <c r="D248" s="310"/>
      <c r="E248" s="319"/>
      <c r="F248" s="319"/>
      <c r="G248" s="319"/>
    </row>
    <row r="249" spans="1:7" ht="24">
      <c r="A249" s="299" t="s">
        <v>1951</v>
      </c>
      <c r="B249" s="672">
        <v>305100350200000</v>
      </c>
      <c r="C249" s="300" t="s">
        <v>2152</v>
      </c>
      <c r="D249" s="311"/>
      <c r="E249" s="322"/>
      <c r="F249" s="322"/>
      <c r="G249" s="322"/>
    </row>
    <row r="250" spans="1:7">
      <c r="A250" s="309" t="s">
        <v>1950</v>
      </c>
      <c r="B250" s="673" t="s">
        <v>616</v>
      </c>
      <c r="C250" s="296" t="s">
        <v>1456</v>
      </c>
      <c r="D250" s="310"/>
      <c r="E250" s="319"/>
      <c r="F250" s="319"/>
      <c r="G250" s="319"/>
    </row>
    <row r="251" spans="1:7" ht="24">
      <c r="A251" s="299">
        <v>7</v>
      </c>
      <c r="B251" s="672">
        <v>305100350300000</v>
      </c>
      <c r="C251" s="300" t="s">
        <v>617</v>
      </c>
      <c r="D251" s="311"/>
      <c r="E251" s="322"/>
      <c r="F251" s="322"/>
      <c r="G251" s="322"/>
    </row>
    <row r="252" spans="1:7">
      <c r="A252" s="309" t="s">
        <v>1950</v>
      </c>
      <c r="B252" s="673" t="s">
        <v>619</v>
      </c>
      <c r="C252" s="296" t="s">
        <v>1457</v>
      </c>
      <c r="D252" s="310"/>
      <c r="E252" s="319"/>
      <c r="F252" s="319"/>
      <c r="G252" s="319"/>
    </row>
    <row r="253" spans="1:7" ht="25.5">
      <c r="A253" s="309" t="s">
        <v>1951</v>
      </c>
      <c r="B253" s="673" t="s">
        <v>621</v>
      </c>
      <c r="C253" s="296" t="s">
        <v>1458</v>
      </c>
      <c r="D253" s="310"/>
      <c r="E253" s="319"/>
      <c r="F253" s="319"/>
      <c r="G253" s="319"/>
    </row>
    <row r="254" spans="1:7" ht="24">
      <c r="A254" s="299" t="s">
        <v>1998</v>
      </c>
      <c r="B254" s="672">
        <v>305100350401000</v>
      </c>
      <c r="C254" s="300" t="s">
        <v>620</v>
      </c>
      <c r="D254" s="311"/>
      <c r="E254" s="322"/>
      <c r="F254" s="322"/>
      <c r="G254" s="322"/>
    </row>
    <row r="255" spans="1:7" ht="25.5">
      <c r="A255" s="309" t="s">
        <v>1951</v>
      </c>
      <c r="B255" s="673" t="s">
        <v>623</v>
      </c>
      <c r="C255" s="296" t="s">
        <v>1459</v>
      </c>
      <c r="D255" s="310"/>
      <c r="E255" s="319"/>
      <c r="F255" s="319"/>
      <c r="G255" s="319"/>
    </row>
    <row r="256" spans="1:7" ht="24">
      <c r="A256" s="299" t="s">
        <v>1998</v>
      </c>
      <c r="B256" s="672">
        <v>305100350402000</v>
      </c>
      <c r="C256" s="300" t="s">
        <v>622</v>
      </c>
      <c r="D256" s="311"/>
      <c r="E256" s="322"/>
      <c r="F256" s="322"/>
      <c r="G256" s="322"/>
    </row>
    <row r="257" spans="1:7" ht="25.5">
      <c r="A257" s="309" t="s">
        <v>1951</v>
      </c>
      <c r="B257" s="673" t="s">
        <v>625</v>
      </c>
      <c r="C257" s="296" t="s">
        <v>1460</v>
      </c>
      <c r="D257" s="310"/>
      <c r="E257" s="319"/>
      <c r="F257" s="319"/>
      <c r="G257" s="319"/>
    </row>
    <row r="258" spans="1:7" ht="24">
      <c r="A258" s="299" t="s">
        <v>1998</v>
      </c>
      <c r="B258" s="672">
        <v>305100350403000</v>
      </c>
      <c r="C258" s="300" t="s">
        <v>624</v>
      </c>
      <c r="D258" s="311"/>
      <c r="E258" s="322"/>
      <c r="F258" s="322"/>
      <c r="G258" s="322"/>
    </row>
    <row r="259" spans="1:7" ht="25.5">
      <c r="A259" s="309" t="s">
        <v>1951</v>
      </c>
      <c r="B259" s="673" t="s">
        <v>627</v>
      </c>
      <c r="C259" s="296" t="s">
        <v>1461</v>
      </c>
      <c r="D259" s="310"/>
      <c r="E259" s="319"/>
      <c r="F259" s="319"/>
      <c r="G259" s="319"/>
    </row>
    <row r="260" spans="1:7">
      <c r="A260" s="299" t="s">
        <v>1998</v>
      </c>
      <c r="B260" s="672">
        <v>305100350404000</v>
      </c>
      <c r="C260" s="300" t="s">
        <v>626</v>
      </c>
      <c r="D260" s="311"/>
      <c r="E260" s="322"/>
      <c r="F260" s="322"/>
      <c r="G260" s="322"/>
    </row>
    <row r="261" spans="1:7" ht="25.5">
      <c r="A261" s="309" t="s">
        <v>1950</v>
      </c>
      <c r="B261" s="673" t="s">
        <v>628</v>
      </c>
      <c r="C261" s="296" t="s">
        <v>1462</v>
      </c>
      <c r="D261" s="310"/>
      <c r="E261" s="319"/>
      <c r="F261" s="319"/>
      <c r="G261" s="319"/>
    </row>
    <row r="262" spans="1:7" ht="24">
      <c r="A262" s="299" t="s">
        <v>1951</v>
      </c>
      <c r="B262" s="672">
        <v>305100350500000</v>
      </c>
      <c r="C262" s="300" t="s">
        <v>2153</v>
      </c>
      <c r="D262" s="311"/>
      <c r="E262" s="322"/>
      <c r="F262" s="322"/>
      <c r="G262" s="322"/>
    </row>
    <row r="263" spans="1:7" ht="25.5">
      <c r="A263" s="309" t="s">
        <v>1948</v>
      </c>
      <c r="B263" s="673" t="s">
        <v>629</v>
      </c>
      <c r="C263" s="296" t="s">
        <v>2154</v>
      </c>
      <c r="D263" s="310"/>
      <c r="E263" s="319"/>
      <c r="F263" s="319"/>
      <c r="G263" s="319"/>
    </row>
    <row r="264" spans="1:7" ht="25.5">
      <c r="A264" s="309" t="s">
        <v>1950</v>
      </c>
      <c r="B264" s="673" t="s">
        <v>630</v>
      </c>
      <c r="C264" s="296" t="s">
        <v>1464</v>
      </c>
      <c r="D264" s="310" t="s">
        <v>1238</v>
      </c>
      <c r="E264" s="319"/>
      <c r="F264" s="319"/>
      <c r="G264" s="319"/>
    </row>
    <row r="265" spans="1:7" ht="24">
      <c r="A265" s="299" t="s">
        <v>1951</v>
      </c>
      <c r="B265" s="672">
        <v>305100400100000</v>
      </c>
      <c r="C265" s="300" t="s">
        <v>2155</v>
      </c>
      <c r="D265" s="311" t="s">
        <v>1238</v>
      </c>
      <c r="E265" s="322"/>
      <c r="F265" s="322"/>
      <c r="G265" s="322"/>
    </row>
    <row r="266" spans="1:7">
      <c r="A266" s="309" t="s">
        <v>1950</v>
      </c>
      <c r="B266" s="673" t="s">
        <v>631</v>
      </c>
      <c r="C266" s="296" t="s">
        <v>1465</v>
      </c>
      <c r="D266" s="310"/>
      <c r="E266" s="319"/>
      <c r="F266" s="319"/>
      <c r="G266" s="319"/>
    </row>
    <row r="267" spans="1:7" ht="24">
      <c r="A267" s="299" t="s">
        <v>1951</v>
      </c>
      <c r="B267" s="672">
        <v>305100400200000</v>
      </c>
      <c r="C267" s="300" t="s">
        <v>2156</v>
      </c>
      <c r="D267" s="311"/>
      <c r="E267" s="322"/>
      <c r="F267" s="322"/>
      <c r="G267" s="322"/>
    </row>
    <row r="268" spans="1:7" ht="25.5">
      <c r="A268" s="309" t="s">
        <v>1950</v>
      </c>
      <c r="B268" s="673" t="s">
        <v>632</v>
      </c>
      <c r="C268" s="296" t="s">
        <v>1466</v>
      </c>
      <c r="D268" s="310"/>
      <c r="E268" s="319"/>
      <c r="F268" s="319"/>
      <c r="G268" s="319"/>
    </row>
    <row r="269" spans="1:7" ht="24">
      <c r="A269" s="299" t="s">
        <v>1951</v>
      </c>
      <c r="B269" s="672">
        <v>305100400300000</v>
      </c>
      <c r="C269" s="300" t="s">
        <v>2157</v>
      </c>
      <c r="D269" s="311"/>
      <c r="E269" s="322"/>
      <c r="F269" s="322"/>
      <c r="G269" s="322"/>
    </row>
    <row r="270" spans="1:7">
      <c r="A270" s="309" t="s">
        <v>1950</v>
      </c>
      <c r="B270" s="673" t="s">
        <v>633</v>
      </c>
      <c r="C270" s="296" t="s">
        <v>1467</v>
      </c>
      <c r="D270" s="310"/>
      <c r="E270" s="319"/>
      <c r="F270" s="319"/>
      <c r="G270" s="319"/>
    </row>
    <row r="271" spans="1:7" ht="24">
      <c r="A271" s="299" t="s">
        <v>1951</v>
      </c>
      <c r="B271" s="672">
        <v>305100400400000</v>
      </c>
      <c r="C271" s="300" t="s">
        <v>2158</v>
      </c>
      <c r="D271" s="311"/>
      <c r="E271" s="322"/>
      <c r="F271" s="322"/>
      <c r="G271" s="322"/>
    </row>
    <row r="272" spans="1:7">
      <c r="A272" s="309" t="s">
        <v>1950</v>
      </c>
      <c r="B272" s="673" t="s">
        <v>634</v>
      </c>
      <c r="C272" s="296" t="s">
        <v>1468</v>
      </c>
      <c r="D272" s="310"/>
      <c r="E272" s="319"/>
      <c r="F272" s="319"/>
      <c r="G272" s="319"/>
    </row>
    <row r="273" spans="1:7" ht="24">
      <c r="A273" s="299" t="s">
        <v>1951</v>
      </c>
      <c r="B273" s="672">
        <v>305100400500000</v>
      </c>
      <c r="C273" s="300" t="s">
        <v>2159</v>
      </c>
      <c r="D273" s="311"/>
      <c r="E273" s="322"/>
      <c r="F273" s="322"/>
      <c r="G273" s="322"/>
    </row>
    <row r="274" spans="1:7">
      <c r="A274" s="309" t="s">
        <v>1948</v>
      </c>
      <c r="B274" s="673" t="s">
        <v>635</v>
      </c>
      <c r="C274" s="296" t="s">
        <v>2160</v>
      </c>
      <c r="D274" s="310"/>
      <c r="E274" s="319"/>
      <c r="F274" s="319"/>
      <c r="G274" s="319"/>
    </row>
    <row r="275" spans="1:7" ht="25.5">
      <c r="A275" s="309" t="s">
        <v>1950</v>
      </c>
      <c r="B275" s="673" t="s">
        <v>636</v>
      </c>
      <c r="C275" s="296" t="s">
        <v>1470</v>
      </c>
      <c r="D275" s="310" t="s">
        <v>1238</v>
      </c>
      <c r="E275" s="319"/>
      <c r="F275" s="319"/>
      <c r="G275" s="319"/>
    </row>
    <row r="276" spans="1:7">
      <c r="A276" s="299">
        <v>7</v>
      </c>
      <c r="B276" s="672">
        <v>305100450101000</v>
      </c>
      <c r="C276" s="300" t="s">
        <v>637</v>
      </c>
      <c r="D276" s="311" t="s">
        <v>1238</v>
      </c>
      <c r="E276" s="322"/>
      <c r="F276" s="322"/>
      <c r="G276" s="322"/>
    </row>
    <row r="277" spans="1:7">
      <c r="A277" s="299">
        <v>7</v>
      </c>
      <c r="B277" s="672">
        <v>305100450102000</v>
      </c>
      <c r="C277" s="300" t="s">
        <v>638</v>
      </c>
      <c r="D277" s="311" t="s">
        <v>1238</v>
      </c>
      <c r="E277" s="322"/>
      <c r="F277" s="322"/>
      <c r="G277" s="322"/>
    </row>
    <row r="278" spans="1:7">
      <c r="A278" s="309" t="s">
        <v>1950</v>
      </c>
      <c r="B278" s="673" t="s">
        <v>639</v>
      </c>
      <c r="C278" s="296" t="s">
        <v>1471</v>
      </c>
      <c r="D278" s="310"/>
      <c r="E278" s="319"/>
      <c r="F278" s="319"/>
      <c r="G278" s="319"/>
    </row>
    <row r="279" spans="1:7" ht="24">
      <c r="A279" s="299" t="s">
        <v>1951</v>
      </c>
      <c r="B279" s="672">
        <v>305100450200000</v>
      </c>
      <c r="C279" s="300" t="s">
        <v>2161</v>
      </c>
      <c r="D279" s="311"/>
      <c r="E279" s="322"/>
      <c r="F279" s="322"/>
      <c r="G279" s="322"/>
    </row>
    <row r="280" spans="1:7">
      <c r="A280" s="309" t="s">
        <v>1950</v>
      </c>
      <c r="B280" s="673" t="s">
        <v>640</v>
      </c>
      <c r="C280" s="296" t="s">
        <v>1472</v>
      </c>
      <c r="D280" s="310"/>
      <c r="E280" s="319"/>
      <c r="F280" s="319"/>
      <c r="G280" s="319"/>
    </row>
    <row r="281" spans="1:7" ht="24">
      <c r="A281" s="299" t="s">
        <v>1951</v>
      </c>
      <c r="B281" s="672">
        <v>305100450300000</v>
      </c>
      <c r="C281" s="300" t="s">
        <v>2162</v>
      </c>
      <c r="D281" s="311"/>
      <c r="E281" s="322"/>
      <c r="F281" s="322"/>
      <c r="G281" s="322"/>
    </row>
    <row r="282" spans="1:7">
      <c r="A282" s="309" t="s">
        <v>1950</v>
      </c>
      <c r="B282" s="673" t="s">
        <v>641</v>
      </c>
      <c r="C282" s="296" t="s">
        <v>1473</v>
      </c>
      <c r="D282" s="310"/>
      <c r="E282" s="319"/>
      <c r="F282" s="319"/>
      <c r="G282" s="319"/>
    </row>
    <row r="283" spans="1:7">
      <c r="A283" s="299">
        <v>7</v>
      </c>
      <c r="B283" s="674">
        <v>305100450409000</v>
      </c>
      <c r="C283" s="300" t="s">
        <v>2584</v>
      </c>
      <c r="D283" s="311"/>
      <c r="E283" s="322"/>
      <c r="F283" s="322"/>
      <c r="G283" s="322"/>
    </row>
    <row r="284" spans="1:7">
      <c r="A284" s="309" t="s">
        <v>1950</v>
      </c>
      <c r="B284" s="673" t="s">
        <v>642</v>
      </c>
      <c r="C284" s="296" t="s">
        <v>1474</v>
      </c>
      <c r="D284" s="310"/>
      <c r="E284" s="319"/>
      <c r="F284" s="319"/>
      <c r="G284" s="319"/>
    </row>
    <row r="285" spans="1:7" ht="24">
      <c r="A285" s="299" t="s">
        <v>1951</v>
      </c>
      <c r="B285" s="672">
        <v>305100450500000</v>
      </c>
      <c r="C285" s="300" t="s">
        <v>2163</v>
      </c>
      <c r="D285" s="311"/>
      <c r="E285" s="322"/>
      <c r="F285" s="322"/>
      <c r="G285" s="322"/>
    </row>
    <row r="286" spans="1:7" ht="25.5">
      <c r="A286" s="309" t="s">
        <v>1950</v>
      </c>
      <c r="B286" s="673" t="s">
        <v>643</v>
      </c>
      <c r="C286" s="296" t="s">
        <v>1475</v>
      </c>
      <c r="D286" s="310"/>
      <c r="E286" s="319"/>
      <c r="F286" s="319"/>
      <c r="G286" s="319"/>
    </row>
    <row r="287" spans="1:7" ht="36">
      <c r="A287" s="299" t="s">
        <v>1951</v>
      </c>
      <c r="B287" s="672">
        <v>305100450600000</v>
      </c>
      <c r="C287" s="300" t="s">
        <v>2164</v>
      </c>
      <c r="D287" s="311"/>
      <c r="E287" s="322"/>
      <c r="F287" s="322"/>
      <c r="G287" s="322"/>
    </row>
    <row r="288" spans="1:7">
      <c r="A288" s="309" t="s">
        <v>1948</v>
      </c>
      <c r="B288" s="673" t="s">
        <v>644</v>
      </c>
      <c r="C288" s="296" t="s">
        <v>2165</v>
      </c>
      <c r="D288" s="310"/>
      <c r="E288" s="319"/>
      <c r="F288" s="319"/>
      <c r="G288" s="319"/>
    </row>
    <row r="289" spans="1:7" ht="25.5">
      <c r="A289" s="309" t="s">
        <v>1950</v>
      </c>
      <c r="B289" s="673" t="s">
        <v>645</v>
      </c>
      <c r="C289" s="296" t="s">
        <v>1477</v>
      </c>
      <c r="D289" s="310" t="s">
        <v>1238</v>
      </c>
      <c r="E289" s="319"/>
      <c r="F289" s="319"/>
      <c r="G289" s="319"/>
    </row>
    <row r="290" spans="1:7" ht="24">
      <c r="A290" s="299" t="s">
        <v>1951</v>
      </c>
      <c r="B290" s="672">
        <v>305100500100000</v>
      </c>
      <c r="C290" s="300" t="s">
        <v>2166</v>
      </c>
      <c r="D290" s="311" t="s">
        <v>1238</v>
      </c>
      <c r="E290" s="322"/>
      <c r="F290" s="322"/>
      <c r="G290" s="322"/>
    </row>
    <row r="291" spans="1:7">
      <c r="A291" s="309" t="s">
        <v>1950</v>
      </c>
      <c r="B291" s="673" t="s">
        <v>646</v>
      </c>
      <c r="C291" s="296" t="s">
        <v>1478</v>
      </c>
      <c r="D291" s="310"/>
      <c r="E291" s="319"/>
      <c r="F291" s="319"/>
      <c r="G291" s="319"/>
    </row>
    <row r="292" spans="1:7" ht="24">
      <c r="A292" s="299" t="s">
        <v>1951</v>
      </c>
      <c r="B292" s="672">
        <v>305100500200000</v>
      </c>
      <c r="C292" s="300" t="s">
        <v>2167</v>
      </c>
      <c r="D292" s="311"/>
      <c r="E292" s="322"/>
      <c r="F292" s="322"/>
      <c r="G292" s="322"/>
    </row>
    <row r="293" spans="1:7">
      <c r="A293" s="309" t="s">
        <v>1950</v>
      </c>
      <c r="B293" s="673" t="s">
        <v>647</v>
      </c>
      <c r="C293" s="296" t="s">
        <v>1479</v>
      </c>
      <c r="D293" s="310"/>
      <c r="E293" s="319"/>
      <c r="F293" s="319"/>
      <c r="G293" s="319"/>
    </row>
    <row r="294" spans="1:7">
      <c r="A294" s="299" t="s">
        <v>1951</v>
      </c>
      <c r="B294" s="672">
        <v>305100500300000</v>
      </c>
      <c r="C294" s="300" t="s">
        <v>2168</v>
      </c>
      <c r="D294" s="311"/>
      <c r="E294" s="322"/>
      <c r="F294" s="322"/>
      <c r="G294" s="322"/>
    </row>
    <row r="295" spans="1:7">
      <c r="A295" s="309" t="s">
        <v>1950</v>
      </c>
      <c r="B295" s="673" t="s">
        <v>648</v>
      </c>
      <c r="C295" s="296" t="s">
        <v>1480</v>
      </c>
      <c r="D295" s="310"/>
      <c r="E295" s="319"/>
      <c r="F295" s="319"/>
      <c r="G295" s="319"/>
    </row>
    <row r="296" spans="1:7">
      <c r="A296" s="299" t="s">
        <v>1951</v>
      </c>
      <c r="B296" s="672">
        <v>305100500400000</v>
      </c>
      <c r="C296" s="300" t="s">
        <v>2169</v>
      </c>
      <c r="D296" s="311"/>
      <c r="E296" s="322"/>
      <c r="F296" s="322"/>
      <c r="G296" s="322"/>
    </row>
    <row r="297" spans="1:7" ht="25.5">
      <c r="A297" s="309" t="s">
        <v>1950</v>
      </c>
      <c r="B297" s="673" t="s">
        <v>649</v>
      </c>
      <c r="C297" s="296" t="s">
        <v>1481</v>
      </c>
      <c r="D297" s="310"/>
      <c r="E297" s="319"/>
      <c r="F297" s="319"/>
      <c r="G297" s="319"/>
    </row>
    <row r="298" spans="1:7" ht="24">
      <c r="A298" s="299" t="s">
        <v>1951</v>
      </c>
      <c r="B298" s="672">
        <v>305100500500000</v>
      </c>
      <c r="C298" s="300" t="s">
        <v>2170</v>
      </c>
      <c r="D298" s="311"/>
      <c r="E298" s="322"/>
      <c r="F298" s="322"/>
      <c r="G298" s="322"/>
    </row>
    <row r="299" spans="1:7">
      <c r="A299" s="309" t="s">
        <v>1948</v>
      </c>
      <c r="B299" s="673" t="s">
        <v>650</v>
      </c>
      <c r="C299" s="296" t="s">
        <v>2171</v>
      </c>
      <c r="D299" s="310"/>
      <c r="E299" s="319"/>
      <c r="F299" s="319"/>
      <c r="G299" s="319"/>
    </row>
    <row r="300" spans="1:7" ht="25.5">
      <c r="A300" s="309" t="s">
        <v>1950</v>
      </c>
      <c r="B300" s="673" t="s">
        <v>651</v>
      </c>
      <c r="C300" s="296" t="s">
        <v>1483</v>
      </c>
      <c r="D300" s="310" t="s">
        <v>1238</v>
      </c>
      <c r="E300" s="319"/>
      <c r="F300" s="319"/>
      <c r="G300" s="319"/>
    </row>
    <row r="301" spans="1:7" ht="24">
      <c r="A301" s="299" t="s">
        <v>1951</v>
      </c>
      <c r="B301" s="672">
        <v>305100550100000</v>
      </c>
      <c r="C301" s="300" t="s">
        <v>2172</v>
      </c>
      <c r="D301" s="311" t="s">
        <v>1238</v>
      </c>
      <c r="E301" s="322"/>
      <c r="F301" s="322"/>
      <c r="G301" s="322"/>
    </row>
    <row r="302" spans="1:7">
      <c r="A302" s="309" t="s">
        <v>1950</v>
      </c>
      <c r="B302" s="673" t="s">
        <v>652</v>
      </c>
      <c r="C302" s="296" t="s">
        <v>1484</v>
      </c>
      <c r="D302" s="310"/>
      <c r="E302" s="319"/>
      <c r="F302" s="319"/>
      <c r="G302" s="319"/>
    </row>
    <row r="303" spans="1:7" ht="24">
      <c r="A303" s="299" t="s">
        <v>1951</v>
      </c>
      <c r="B303" s="672">
        <v>305100550200000</v>
      </c>
      <c r="C303" s="300" t="s">
        <v>2173</v>
      </c>
      <c r="D303" s="311"/>
      <c r="E303" s="322"/>
      <c r="F303" s="322"/>
      <c r="G303" s="322"/>
    </row>
    <row r="304" spans="1:7">
      <c r="A304" s="309" t="s">
        <v>1950</v>
      </c>
      <c r="B304" s="673" t="s">
        <v>653</v>
      </c>
      <c r="C304" s="296" t="s">
        <v>1485</v>
      </c>
      <c r="D304" s="310"/>
      <c r="E304" s="319"/>
      <c r="F304" s="319"/>
      <c r="G304" s="319"/>
    </row>
    <row r="305" spans="1:7">
      <c r="A305" s="299" t="s">
        <v>1951</v>
      </c>
      <c r="B305" s="672">
        <v>305100550300000</v>
      </c>
      <c r="C305" s="300" t="s">
        <v>2174</v>
      </c>
      <c r="D305" s="311"/>
      <c r="E305" s="322"/>
      <c r="F305" s="322"/>
      <c r="G305" s="322"/>
    </row>
    <row r="306" spans="1:7">
      <c r="A306" s="309" t="s">
        <v>1950</v>
      </c>
      <c r="B306" s="673" t="s">
        <v>654</v>
      </c>
      <c r="C306" s="296" t="s">
        <v>1486</v>
      </c>
      <c r="D306" s="310"/>
      <c r="E306" s="319"/>
      <c r="F306" s="319"/>
      <c r="G306" s="319"/>
    </row>
    <row r="307" spans="1:7">
      <c r="A307" s="299">
        <v>7</v>
      </c>
      <c r="B307" s="672">
        <v>305100550401000</v>
      </c>
      <c r="C307" s="300" t="s">
        <v>655</v>
      </c>
      <c r="D307" s="311"/>
      <c r="E307" s="322"/>
      <c r="F307" s="322"/>
      <c r="G307" s="322"/>
    </row>
    <row r="308" spans="1:7">
      <c r="A308" s="299">
        <v>7</v>
      </c>
      <c r="B308" s="672">
        <v>305100550402000</v>
      </c>
      <c r="C308" s="300" t="s">
        <v>656</v>
      </c>
      <c r="D308" s="311"/>
      <c r="E308" s="322"/>
      <c r="F308" s="322"/>
      <c r="G308" s="322"/>
    </row>
    <row r="309" spans="1:7">
      <c r="A309" s="299">
        <v>7</v>
      </c>
      <c r="B309" s="672">
        <v>305100550403000</v>
      </c>
      <c r="C309" s="300" t="s">
        <v>657</v>
      </c>
      <c r="D309" s="311"/>
      <c r="E309" s="322"/>
      <c r="F309" s="322"/>
      <c r="G309" s="322"/>
    </row>
    <row r="310" spans="1:7">
      <c r="A310" s="299">
        <v>7</v>
      </c>
      <c r="B310" s="672">
        <v>305100550404000</v>
      </c>
      <c r="C310" s="300" t="s">
        <v>658</v>
      </c>
      <c r="D310" s="311"/>
      <c r="E310" s="322"/>
      <c r="F310" s="322"/>
      <c r="G310" s="322"/>
    </row>
    <row r="311" spans="1:7" ht="25.5">
      <c r="A311" s="309" t="s">
        <v>1948</v>
      </c>
      <c r="B311" s="673" t="s">
        <v>659</v>
      </c>
      <c r="C311" s="296" t="s">
        <v>2175</v>
      </c>
      <c r="D311" s="310"/>
      <c r="E311" s="319"/>
      <c r="F311" s="319"/>
      <c r="G311" s="319"/>
    </row>
    <row r="312" spans="1:7" ht="25.5">
      <c r="A312" s="309" t="s">
        <v>1950</v>
      </c>
      <c r="B312" s="673" t="s">
        <v>660</v>
      </c>
      <c r="C312" s="296" t="s">
        <v>1488</v>
      </c>
      <c r="D312" s="310"/>
      <c r="E312" s="319"/>
      <c r="F312" s="319"/>
      <c r="G312" s="319"/>
    </row>
    <row r="313" spans="1:7">
      <c r="A313" s="309" t="s">
        <v>1951</v>
      </c>
      <c r="B313" s="673" t="s">
        <v>662</v>
      </c>
      <c r="C313" s="296" t="s">
        <v>2176</v>
      </c>
      <c r="D313" s="310" t="s">
        <v>1238</v>
      </c>
      <c r="E313" s="319"/>
      <c r="F313" s="319"/>
      <c r="G313" s="319"/>
    </row>
    <row r="314" spans="1:7">
      <c r="A314" s="299" t="s">
        <v>1998</v>
      </c>
      <c r="B314" s="672">
        <v>305100600101000</v>
      </c>
      <c r="C314" s="300" t="s">
        <v>661</v>
      </c>
      <c r="D314" s="311" t="s">
        <v>1238</v>
      </c>
      <c r="E314" s="322"/>
      <c r="F314" s="322"/>
      <c r="G314" s="322"/>
    </row>
    <row r="315" spans="1:7" ht="25.5">
      <c r="A315" s="309" t="s">
        <v>1951</v>
      </c>
      <c r="B315" s="673" t="s">
        <v>663</v>
      </c>
      <c r="C315" s="296" t="s">
        <v>1490</v>
      </c>
      <c r="D315" s="310" t="s">
        <v>1238</v>
      </c>
      <c r="E315" s="319"/>
      <c r="F315" s="319"/>
      <c r="G315" s="319"/>
    </row>
    <row r="316" spans="1:7">
      <c r="A316" s="299" t="s">
        <v>1998</v>
      </c>
      <c r="B316" s="672">
        <v>305100600102000</v>
      </c>
      <c r="C316" s="300" t="s">
        <v>2177</v>
      </c>
      <c r="D316" s="311" t="s">
        <v>1238</v>
      </c>
      <c r="E316" s="322"/>
      <c r="F316" s="322"/>
      <c r="G316" s="322"/>
    </row>
    <row r="317" spans="1:7" ht="25.5">
      <c r="A317" s="309" t="s">
        <v>1950</v>
      </c>
      <c r="B317" s="673" t="s">
        <v>664</v>
      </c>
      <c r="C317" s="296" t="s">
        <v>1491</v>
      </c>
      <c r="D317" s="310"/>
      <c r="E317" s="319"/>
      <c r="F317" s="319"/>
      <c r="G317" s="319"/>
    </row>
    <row r="318" spans="1:7">
      <c r="A318" s="299">
        <v>7</v>
      </c>
      <c r="B318" s="672">
        <v>305100600201000</v>
      </c>
      <c r="C318" s="300" t="s">
        <v>2178</v>
      </c>
      <c r="D318" s="311"/>
      <c r="E318" s="322"/>
      <c r="F318" s="322"/>
      <c r="G318" s="322"/>
    </row>
    <row r="319" spans="1:7" ht="24">
      <c r="A319" s="299">
        <v>7</v>
      </c>
      <c r="B319" s="672">
        <v>305100600202000</v>
      </c>
      <c r="C319" s="300" t="s">
        <v>2179</v>
      </c>
      <c r="D319" s="311"/>
      <c r="E319" s="322"/>
      <c r="F319" s="322"/>
      <c r="G319" s="322"/>
    </row>
    <row r="320" spans="1:7" ht="24">
      <c r="A320" s="299">
        <v>7</v>
      </c>
      <c r="B320" s="672">
        <v>305100600203000</v>
      </c>
      <c r="C320" s="300" t="s">
        <v>2180</v>
      </c>
      <c r="D320" s="311"/>
      <c r="E320" s="322"/>
      <c r="F320" s="322"/>
      <c r="G320" s="322"/>
    </row>
    <row r="321" spans="1:7" ht="24">
      <c r="A321" s="299">
        <v>7</v>
      </c>
      <c r="B321" s="672">
        <v>305100600209000</v>
      </c>
      <c r="C321" s="300" t="s">
        <v>668</v>
      </c>
      <c r="D321" s="311"/>
      <c r="E321" s="322"/>
      <c r="F321" s="322"/>
      <c r="G321" s="322"/>
    </row>
    <row r="322" spans="1:7" ht="38.25">
      <c r="A322" s="309" t="s">
        <v>1950</v>
      </c>
      <c r="B322" s="673" t="s">
        <v>669</v>
      </c>
      <c r="C322" s="296" t="s">
        <v>1492</v>
      </c>
      <c r="D322" s="310"/>
      <c r="E322" s="319"/>
      <c r="F322" s="319"/>
      <c r="G322" s="319"/>
    </row>
    <row r="323" spans="1:7" ht="36">
      <c r="A323" s="299" t="s">
        <v>1951</v>
      </c>
      <c r="B323" s="672">
        <v>305100600250000</v>
      </c>
      <c r="C323" s="300" t="s">
        <v>2181</v>
      </c>
      <c r="D323" s="311"/>
      <c r="E323" s="322"/>
      <c r="F323" s="322"/>
      <c r="G323" s="322"/>
    </row>
    <row r="324" spans="1:7" ht="25.5">
      <c r="A324" s="309" t="s">
        <v>1950</v>
      </c>
      <c r="B324" s="673" t="s">
        <v>670</v>
      </c>
      <c r="C324" s="296" t="s">
        <v>1493</v>
      </c>
      <c r="D324" s="310"/>
      <c r="E324" s="319"/>
      <c r="F324" s="319"/>
      <c r="G324" s="319"/>
    </row>
    <row r="325" spans="1:7" ht="36">
      <c r="A325" s="299" t="s">
        <v>1951</v>
      </c>
      <c r="B325" s="672">
        <v>305100600300000</v>
      </c>
      <c r="C325" s="300" t="s">
        <v>2182</v>
      </c>
      <c r="D325" s="311"/>
      <c r="E325" s="322"/>
      <c r="F325" s="322"/>
      <c r="G325" s="322"/>
    </row>
    <row r="326" spans="1:7" ht="24">
      <c r="A326" s="299">
        <v>7</v>
      </c>
      <c r="B326" s="674">
        <v>305100600301000</v>
      </c>
      <c r="C326" s="300" t="s">
        <v>567</v>
      </c>
      <c r="D326" s="311"/>
      <c r="E326" s="323"/>
      <c r="F326" s="323"/>
      <c r="G326" s="323"/>
    </row>
    <row r="327" spans="1:7" ht="24">
      <c r="A327" s="299">
        <v>7</v>
      </c>
      <c r="B327" s="672">
        <v>305100600302000</v>
      </c>
      <c r="C327" s="300" t="s">
        <v>618</v>
      </c>
      <c r="D327" s="311"/>
      <c r="E327" s="323"/>
      <c r="F327" s="323"/>
      <c r="G327" s="323"/>
    </row>
    <row r="328" spans="1:7">
      <c r="A328" s="309" t="s">
        <v>1950</v>
      </c>
      <c r="B328" s="673" t="s">
        <v>671</v>
      </c>
      <c r="C328" s="296" t="s">
        <v>1494</v>
      </c>
      <c r="D328" s="310"/>
      <c r="E328" s="319"/>
      <c r="F328" s="319"/>
      <c r="G328" s="319"/>
    </row>
    <row r="329" spans="1:7">
      <c r="A329" s="299" t="s">
        <v>1951</v>
      </c>
      <c r="B329" s="672">
        <v>305100600401000</v>
      </c>
      <c r="C329" s="300" t="s">
        <v>672</v>
      </c>
      <c r="D329" s="311"/>
      <c r="E329" s="322"/>
      <c r="F329" s="322"/>
      <c r="G329" s="322"/>
    </row>
    <row r="330" spans="1:7">
      <c r="A330" s="299" t="s">
        <v>1951</v>
      </c>
      <c r="B330" s="672">
        <v>305100600402000</v>
      </c>
      <c r="C330" s="300" t="s">
        <v>673</v>
      </c>
      <c r="D330" s="311"/>
      <c r="E330" s="322"/>
      <c r="F330" s="322"/>
      <c r="G330" s="322"/>
    </row>
    <row r="331" spans="1:7">
      <c r="A331" s="299" t="s">
        <v>1951</v>
      </c>
      <c r="B331" s="672">
        <v>305100600403000</v>
      </c>
      <c r="C331" s="300" t="s">
        <v>665</v>
      </c>
      <c r="D331" s="311"/>
      <c r="E331" s="322"/>
      <c r="F331" s="322"/>
      <c r="G331" s="322"/>
    </row>
    <row r="332" spans="1:7" ht="24">
      <c r="A332" s="299" t="s">
        <v>1951</v>
      </c>
      <c r="B332" s="672">
        <v>305100600404000</v>
      </c>
      <c r="C332" s="300" t="s">
        <v>666</v>
      </c>
      <c r="D332" s="311"/>
      <c r="E332" s="322"/>
      <c r="F332" s="322"/>
      <c r="G332" s="322"/>
    </row>
    <row r="333" spans="1:7">
      <c r="A333" s="299" t="s">
        <v>1951</v>
      </c>
      <c r="B333" s="672">
        <v>305100600405000</v>
      </c>
      <c r="C333" s="300" t="s">
        <v>667</v>
      </c>
      <c r="D333" s="311"/>
      <c r="E333" s="322"/>
      <c r="F333" s="322"/>
      <c r="G333" s="322"/>
    </row>
    <row r="334" spans="1:7" ht="24">
      <c r="A334" s="299" t="s">
        <v>1951</v>
      </c>
      <c r="B334" s="672">
        <v>305100600406000</v>
      </c>
      <c r="C334" s="300" t="s">
        <v>2183</v>
      </c>
      <c r="D334" s="311"/>
      <c r="E334" s="322"/>
      <c r="F334" s="322"/>
      <c r="G334" s="322"/>
    </row>
    <row r="335" spans="1:7">
      <c r="A335" s="299" t="s">
        <v>1951</v>
      </c>
      <c r="B335" s="672">
        <v>305100600407000</v>
      </c>
      <c r="C335" s="300" t="s">
        <v>674</v>
      </c>
      <c r="D335" s="311"/>
      <c r="E335" s="322"/>
      <c r="F335" s="322"/>
      <c r="G335" s="322"/>
    </row>
    <row r="336" spans="1:7">
      <c r="A336" s="299" t="s">
        <v>1951</v>
      </c>
      <c r="B336" s="672">
        <v>305100600409000</v>
      </c>
      <c r="C336" s="300" t="s">
        <v>675</v>
      </c>
      <c r="D336" s="311"/>
      <c r="E336" s="322"/>
      <c r="F336" s="322"/>
      <c r="G336" s="322"/>
    </row>
    <row r="337" spans="1:7">
      <c r="A337" s="309" t="s">
        <v>1950</v>
      </c>
      <c r="B337" s="673" t="s">
        <v>676</v>
      </c>
      <c r="C337" s="296" t="s">
        <v>1495</v>
      </c>
      <c r="D337" s="310"/>
      <c r="E337" s="319"/>
      <c r="F337" s="319"/>
      <c r="G337" s="319"/>
    </row>
    <row r="338" spans="1:7" ht="24">
      <c r="A338" s="299" t="s">
        <v>1951</v>
      </c>
      <c r="B338" s="672">
        <v>305100600501000</v>
      </c>
      <c r="C338" s="300" t="s">
        <v>2184</v>
      </c>
      <c r="D338" s="311"/>
      <c r="E338" s="322"/>
      <c r="F338" s="322"/>
      <c r="G338" s="322"/>
    </row>
    <row r="339" spans="1:7">
      <c r="A339" s="299" t="s">
        <v>1951</v>
      </c>
      <c r="B339" s="672">
        <v>305100600509000</v>
      </c>
      <c r="C339" s="300" t="s">
        <v>677</v>
      </c>
      <c r="D339" s="311"/>
      <c r="E339" s="322"/>
      <c r="F339" s="322"/>
      <c r="G339" s="322"/>
    </row>
    <row r="340" spans="1:7" ht="25.5">
      <c r="A340" s="309" t="s">
        <v>1948</v>
      </c>
      <c r="B340" s="673" t="s">
        <v>678</v>
      </c>
      <c r="C340" s="296" t="s">
        <v>2185</v>
      </c>
      <c r="D340" s="310"/>
      <c r="E340" s="319"/>
      <c r="F340" s="319"/>
      <c r="G340" s="319"/>
    </row>
    <row r="341" spans="1:7" ht="25.5">
      <c r="A341" s="309" t="s">
        <v>1950</v>
      </c>
      <c r="B341" s="673" t="s">
        <v>680</v>
      </c>
      <c r="C341" s="296" t="s">
        <v>2186</v>
      </c>
      <c r="D341" s="310"/>
      <c r="E341" s="319"/>
      <c r="F341" s="319"/>
      <c r="G341" s="319"/>
    </row>
    <row r="342" spans="1:7" ht="24">
      <c r="A342" s="299" t="s">
        <v>1951</v>
      </c>
      <c r="B342" s="672">
        <v>305100650100000</v>
      </c>
      <c r="C342" s="300" t="s">
        <v>679</v>
      </c>
      <c r="D342" s="311"/>
      <c r="E342" s="322"/>
      <c r="F342" s="322"/>
      <c r="G342" s="322"/>
    </row>
    <row r="343" spans="1:7" ht="25.5">
      <c r="A343" s="309" t="s">
        <v>1950</v>
      </c>
      <c r="B343" s="673" t="s">
        <v>682</v>
      </c>
      <c r="C343" s="296" t="s">
        <v>2187</v>
      </c>
      <c r="D343" s="310"/>
      <c r="E343" s="319"/>
      <c r="F343" s="319"/>
      <c r="G343" s="319"/>
    </row>
    <row r="344" spans="1:7" ht="24">
      <c r="A344" s="299" t="s">
        <v>1951</v>
      </c>
      <c r="B344" s="672">
        <v>305100650200000</v>
      </c>
      <c r="C344" s="300" t="s">
        <v>681</v>
      </c>
      <c r="D344" s="311"/>
      <c r="E344" s="322"/>
      <c r="F344" s="322"/>
      <c r="G344" s="322"/>
    </row>
    <row r="345" spans="1:7" ht="25.5">
      <c r="A345" s="309" t="s">
        <v>1950</v>
      </c>
      <c r="B345" s="673" t="s">
        <v>684</v>
      </c>
      <c r="C345" s="296" t="s">
        <v>2188</v>
      </c>
      <c r="D345" s="310"/>
      <c r="E345" s="319"/>
      <c r="F345" s="319"/>
      <c r="G345" s="319"/>
    </row>
    <row r="346" spans="1:7" ht="24">
      <c r="A346" s="299" t="s">
        <v>1951</v>
      </c>
      <c r="B346" s="672">
        <v>305100650300000</v>
      </c>
      <c r="C346" s="300" t="s">
        <v>683</v>
      </c>
      <c r="D346" s="311"/>
      <c r="E346" s="322"/>
      <c r="F346" s="322"/>
      <c r="G346" s="322"/>
    </row>
    <row r="347" spans="1:7" ht="38.25">
      <c r="A347" s="309" t="s">
        <v>1950</v>
      </c>
      <c r="B347" s="673" t="s">
        <v>685</v>
      </c>
      <c r="C347" s="296" t="s">
        <v>2189</v>
      </c>
      <c r="D347" s="310"/>
      <c r="E347" s="319"/>
      <c r="F347" s="319"/>
      <c r="G347" s="319"/>
    </row>
    <row r="348" spans="1:7" ht="24">
      <c r="A348" s="299" t="s">
        <v>1951</v>
      </c>
      <c r="B348" s="672">
        <v>305100650401000</v>
      </c>
      <c r="C348" s="300" t="s">
        <v>686</v>
      </c>
      <c r="D348" s="311"/>
      <c r="E348" s="322"/>
      <c r="F348" s="322"/>
      <c r="G348" s="322"/>
    </row>
    <row r="349" spans="1:7" ht="24">
      <c r="A349" s="299" t="s">
        <v>1951</v>
      </c>
      <c r="B349" s="672">
        <v>305100650402000</v>
      </c>
      <c r="C349" s="300" t="s">
        <v>687</v>
      </c>
      <c r="D349" s="311"/>
      <c r="E349" s="322"/>
      <c r="F349" s="322"/>
      <c r="G349" s="322"/>
    </row>
    <row r="350" spans="1:7" ht="24">
      <c r="A350" s="299" t="s">
        <v>1951</v>
      </c>
      <c r="B350" s="672">
        <v>305100650403000</v>
      </c>
      <c r="C350" s="300" t="s">
        <v>688</v>
      </c>
      <c r="D350" s="311"/>
      <c r="E350" s="322"/>
      <c r="F350" s="322"/>
      <c r="G350" s="322"/>
    </row>
    <row r="351" spans="1:7" ht="36">
      <c r="A351" s="299" t="s">
        <v>1951</v>
      </c>
      <c r="B351" s="672">
        <v>305100650409000</v>
      </c>
      <c r="C351" s="300" t="s">
        <v>2190</v>
      </c>
      <c r="D351" s="311"/>
      <c r="E351" s="322"/>
      <c r="F351" s="322"/>
      <c r="G351" s="322"/>
    </row>
    <row r="352" spans="1:7" ht="51">
      <c r="A352" s="309" t="s">
        <v>1950</v>
      </c>
      <c r="B352" s="673" t="s">
        <v>689</v>
      </c>
      <c r="C352" s="296" t="s">
        <v>2191</v>
      </c>
      <c r="D352" s="310" t="s">
        <v>1238</v>
      </c>
      <c r="E352" s="319"/>
      <c r="F352" s="319"/>
      <c r="G352" s="319"/>
    </row>
    <row r="353" spans="1:7" ht="24">
      <c r="A353" s="299" t="s">
        <v>1951</v>
      </c>
      <c r="B353" s="672">
        <v>305100650501000</v>
      </c>
      <c r="C353" s="300" t="s">
        <v>2192</v>
      </c>
      <c r="D353" s="311" t="s">
        <v>1238</v>
      </c>
      <c r="E353" s="322"/>
      <c r="F353" s="322"/>
      <c r="G353" s="322"/>
    </row>
    <row r="354" spans="1:7" ht="36">
      <c r="A354" s="299" t="s">
        <v>1951</v>
      </c>
      <c r="B354" s="672">
        <v>305100650502000</v>
      </c>
      <c r="C354" s="300" t="s">
        <v>2193</v>
      </c>
      <c r="D354" s="311" t="s">
        <v>1238</v>
      </c>
      <c r="E354" s="322"/>
      <c r="F354" s="322"/>
      <c r="G354" s="322"/>
    </row>
    <row r="355" spans="1:7" ht="24">
      <c r="A355" s="299" t="s">
        <v>1951</v>
      </c>
      <c r="B355" s="672">
        <v>305100650503000</v>
      </c>
      <c r="C355" s="300" t="s">
        <v>2194</v>
      </c>
      <c r="D355" s="311" t="s">
        <v>1238</v>
      </c>
      <c r="E355" s="322"/>
      <c r="F355" s="322"/>
      <c r="G355" s="322"/>
    </row>
    <row r="356" spans="1:7" ht="36">
      <c r="A356" s="299" t="s">
        <v>1951</v>
      </c>
      <c r="B356" s="672">
        <v>305100650509000</v>
      </c>
      <c r="C356" s="300" t="s">
        <v>2195</v>
      </c>
      <c r="D356" s="311" t="s">
        <v>1238</v>
      </c>
      <c r="E356" s="322"/>
      <c r="F356" s="322"/>
      <c r="G356" s="322"/>
    </row>
    <row r="357" spans="1:7" ht="25.5">
      <c r="A357" s="309" t="s">
        <v>1950</v>
      </c>
      <c r="B357" s="673" t="s">
        <v>690</v>
      </c>
      <c r="C357" s="296" t="s">
        <v>2196</v>
      </c>
      <c r="D357" s="310"/>
      <c r="E357" s="319"/>
      <c r="F357" s="319"/>
      <c r="G357" s="319"/>
    </row>
    <row r="358" spans="1:7" ht="24">
      <c r="A358" s="299" t="s">
        <v>1951</v>
      </c>
      <c r="B358" s="672">
        <v>305100650600500</v>
      </c>
      <c r="C358" s="300" t="s">
        <v>691</v>
      </c>
      <c r="D358" s="311"/>
      <c r="E358" s="322"/>
      <c r="F358" s="322"/>
      <c r="G358" s="322"/>
    </row>
    <row r="359" spans="1:7" ht="24">
      <c r="A359" s="299" t="s">
        <v>1951</v>
      </c>
      <c r="B359" s="672">
        <v>305100650601000</v>
      </c>
      <c r="C359" s="300" t="s">
        <v>2197</v>
      </c>
      <c r="D359" s="311"/>
      <c r="E359" s="322"/>
      <c r="F359" s="322"/>
      <c r="G359" s="322"/>
    </row>
    <row r="360" spans="1:7" ht="24">
      <c r="A360" s="299" t="s">
        <v>1951</v>
      </c>
      <c r="B360" s="672">
        <v>305100650601500</v>
      </c>
      <c r="C360" s="300" t="s">
        <v>2198</v>
      </c>
      <c r="D360" s="311"/>
      <c r="E360" s="322"/>
      <c r="F360" s="322"/>
      <c r="G360" s="322"/>
    </row>
    <row r="361" spans="1:7" ht="24">
      <c r="A361" s="299" t="s">
        <v>1951</v>
      </c>
      <c r="B361" s="672">
        <v>305100650602000</v>
      </c>
      <c r="C361" s="300" t="s">
        <v>692</v>
      </c>
      <c r="D361" s="311"/>
      <c r="E361" s="322"/>
      <c r="F361" s="322"/>
      <c r="G361" s="322"/>
    </row>
    <row r="362" spans="1:7" ht="24">
      <c r="A362" s="299" t="s">
        <v>1951</v>
      </c>
      <c r="B362" s="672">
        <v>305100650602500</v>
      </c>
      <c r="C362" s="300" t="s">
        <v>693</v>
      </c>
      <c r="D362" s="311"/>
      <c r="E362" s="322"/>
      <c r="F362" s="322"/>
      <c r="G362" s="322"/>
    </row>
    <row r="363" spans="1:7" ht="24">
      <c r="A363" s="299" t="s">
        <v>1951</v>
      </c>
      <c r="B363" s="672">
        <v>305100650603000</v>
      </c>
      <c r="C363" s="300" t="s">
        <v>694</v>
      </c>
      <c r="D363" s="311"/>
      <c r="E363" s="322"/>
      <c r="F363" s="322"/>
      <c r="G363" s="322"/>
    </row>
    <row r="364" spans="1:7" ht="24">
      <c r="A364" s="299" t="s">
        <v>1951</v>
      </c>
      <c r="B364" s="672">
        <v>305100650603500</v>
      </c>
      <c r="C364" s="300" t="s">
        <v>2199</v>
      </c>
      <c r="D364" s="311"/>
      <c r="E364" s="322"/>
      <c r="F364" s="322"/>
      <c r="G364" s="322"/>
    </row>
    <row r="365" spans="1:7">
      <c r="A365" s="299" t="s">
        <v>1951</v>
      </c>
      <c r="B365" s="672">
        <v>305100650604000</v>
      </c>
      <c r="C365" s="300" t="s">
        <v>695</v>
      </c>
      <c r="D365" s="311"/>
      <c r="E365" s="322"/>
      <c r="F365" s="322"/>
      <c r="G365" s="322"/>
    </row>
    <row r="366" spans="1:7">
      <c r="A366" s="299" t="s">
        <v>1951</v>
      </c>
      <c r="B366" s="672">
        <v>305100650604500</v>
      </c>
      <c r="C366" s="300" t="s">
        <v>696</v>
      </c>
      <c r="D366" s="311"/>
      <c r="E366" s="322"/>
      <c r="F366" s="322"/>
      <c r="G366" s="322"/>
    </row>
    <row r="367" spans="1:7" ht="24">
      <c r="A367" s="299" t="s">
        <v>1951</v>
      </c>
      <c r="B367" s="672">
        <v>305100650605000</v>
      </c>
      <c r="C367" s="300" t="s">
        <v>2586</v>
      </c>
      <c r="D367" s="311"/>
      <c r="E367" s="322">
        <v>0</v>
      </c>
      <c r="F367" s="322">
        <v>6283.08</v>
      </c>
      <c r="G367" s="322">
        <f>E367-F367</f>
        <v>-6283.08</v>
      </c>
    </row>
    <row r="368" spans="1:7" ht="24">
      <c r="A368" s="299" t="s">
        <v>1951</v>
      </c>
      <c r="B368" s="672">
        <v>305100650609000</v>
      </c>
      <c r="C368" s="300" t="s">
        <v>2587</v>
      </c>
      <c r="D368" s="311"/>
      <c r="E368" s="322">
        <v>4399.26</v>
      </c>
      <c r="F368" s="322">
        <v>1495.37</v>
      </c>
      <c r="G368" s="322">
        <f>E368-F368</f>
        <v>2903.8900000000003</v>
      </c>
    </row>
    <row r="369" spans="1:7" ht="38.25">
      <c r="A369" s="309" t="s">
        <v>1950</v>
      </c>
      <c r="B369" s="673" t="s">
        <v>697</v>
      </c>
      <c r="C369" s="296" t="s">
        <v>2200</v>
      </c>
      <c r="D369" s="310" t="s">
        <v>1238</v>
      </c>
      <c r="E369" s="319"/>
      <c r="F369" s="319"/>
      <c r="G369" s="319"/>
    </row>
    <row r="370" spans="1:7" ht="24">
      <c r="A370" s="299" t="s">
        <v>1951</v>
      </c>
      <c r="B370" s="672">
        <v>305100650700500</v>
      </c>
      <c r="C370" s="300" t="s">
        <v>2201</v>
      </c>
      <c r="D370" s="311" t="s">
        <v>1238</v>
      </c>
      <c r="E370" s="322"/>
      <c r="F370" s="322"/>
      <c r="G370" s="322"/>
    </row>
    <row r="371" spans="1:7" ht="24">
      <c r="A371" s="299" t="s">
        <v>1951</v>
      </c>
      <c r="B371" s="672">
        <v>305100650701000</v>
      </c>
      <c r="C371" s="300" t="s">
        <v>2202</v>
      </c>
      <c r="D371" s="311" t="s">
        <v>1238</v>
      </c>
      <c r="E371" s="322"/>
      <c r="F371" s="322"/>
      <c r="G371" s="322"/>
    </row>
    <row r="372" spans="1:7" ht="24">
      <c r="A372" s="299" t="s">
        <v>1951</v>
      </c>
      <c r="B372" s="672">
        <v>305100650701500</v>
      </c>
      <c r="C372" s="300" t="s">
        <v>2203</v>
      </c>
      <c r="D372" s="311" t="s">
        <v>1238</v>
      </c>
      <c r="E372" s="322"/>
      <c r="F372" s="322"/>
      <c r="G372" s="322"/>
    </row>
    <row r="373" spans="1:7" ht="24">
      <c r="A373" s="299" t="s">
        <v>1951</v>
      </c>
      <c r="B373" s="672">
        <v>305100650702000</v>
      </c>
      <c r="C373" s="300" t="s">
        <v>2204</v>
      </c>
      <c r="D373" s="311" t="s">
        <v>1238</v>
      </c>
      <c r="E373" s="322"/>
      <c r="F373" s="322"/>
      <c r="G373" s="322"/>
    </row>
    <row r="374" spans="1:7" ht="24">
      <c r="A374" s="299" t="s">
        <v>1951</v>
      </c>
      <c r="B374" s="672">
        <v>305100650702500</v>
      </c>
      <c r="C374" s="300" t="s">
        <v>2205</v>
      </c>
      <c r="D374" s="311" t="s">
        <v>1238</v>
      </c>
      <c r="E374" s="322"/>
      <c r="F374" s="322"/>
      <c r="G374" s="322"/>
    </row>
    <row r="375" spans="1:7" ht="24">
      <c r="A375" s="299" t="s">
        <v>1951</v>
      </c>
      <c r="B375" s="672">
        <v>305100650703000</v>
      </c>
      <c r="C375" s="300" t="s">
        <v>2206</v>
      </c>
      <c r="D375" s="311" t="s">
        <v>1238</v>
      </c>
      <c r="E375" s="322"/>
      <c r="F375" s="322"/>
      <c r="G375" s="322"/>
    </row>
    <row r="376" spans="1:7" ht="24">
      <c r="A376" s="299" t="s">
        <v>1951</v>
      </c>
      <c r="B376" s="672">
        <v>305100650703500</v>
      </c>
      <c r="C376" s="300" t="s">
        <v>2207</v>
      </c>
      <c r="D376" s="311" t="s">
        <v>1238</v>
      </c>
      <c r="E376" s="322"/>
      <c r="F376" s="322"/>
      <c r="G376" s="322"/>
    </row>
    <row r="377" spans="1:7" ht="24">
      <c r="A377" s="299" t="s">
        <v>1951</v>
      </c>
      <c r="B377" s="672">
        <v>305100650704000</v>
      </c>
      <c r="C377" s="300" t="s">
        <v>2588</v>
      </c>
      <c r="D377" s="311" t="s">
        <v>1238</v>
      </c>
      <c r="E377" s="322"/>
      <c r="F377" s="322"/>
      <c r="G377" s="322"/>
    </row>
    <row r="378" spans="1:7" ht="36">
      <c r="A378" s="299" t="s">
        <v>1951</v>
      </c>
      <c r="B378" s="672">
        <v>305100650709000</v>
      </c>
      <c r="C378" s="300" t="s">
        <v>2589</v>
      </c>
      <c r="D378" s="311" t="s">
        <v>1238</v>
      </c>
      <c r="E378" s="322"/>
      <c r="F378" s="322"/>
      <c r="G378" s="322"/>
    </row>
    <row r="379" spans="1:7">
      <c r="A379" s="309" t="s">
        <v>1948</v>
      </c>
      <c r="B379" s="673" t="s">
        <v>698</v>
      </c>
      <c r="C379" s="296" t="s">
        <v>2208</v>
      </c>
      <c r="D379" s="310"/>
      <c r="E379" s="319"/>
      <c r="F379" s="319"/>
      <c r="G379" s="319"/>
    </row>
    <row r="380" spans="1:7">
      <c r="A380" s="309" t="s">
        <v>1950</v>
      </c>
      <c r="B380" s="673" t="s">
        <v>700</v>
      </c>
      <c r="C380" s="296" t="s">
        <v>2209</v>
      </c>
      <c r="D380" s="310"/>
      <c r="E380" s="319"/>
      <c r="F380" s="319"/>
      <c r="G380" s="319"/>
    </row>
    <row r="381" spans="1:7">
      <c r="A381" s="299" t="s">
        <v>1951</v>
      </c>
      <c r="B381" s="672">
        <v>305100700100000</v>
      </c>
      <c r="C381" s="300" t="s">
        <v>699</v>
      </c>
      <c r="D381" s="311"/>
      <c r="E381" s="322">
        <v>2275663.12</v>
      </c>
      <c r="F381" s="322">
        <v>2224023.29</v>
      </c>
      <c r="G381" s="322">
        <f>E381-F381</f>
        <v>51639.830000000075</v>
      </c>
    </row>
    <row r="382" spans="1:7">
      <c r="A382" s="309" t="s">
        <v>1950</v>
      </c>
      <c r="B382" s="673" t="s">
        <v>702</v>
      </c>
      <c r="C382" s="296" t="s">
        <v>2210</v>
      </c>
      <c r="D382" s="310"/>
      <c r="E382" s="319"/>
      <c r="F382" s="319"/>
      <c r="G382" s="319"/>
    </row>
    <row r="383" spans="1:7">
      <c r="A383" s="299" t="s">
        <v>1951</v>
      </c>
      <c r="B383" s="672">
        <v>305100700200000</v>
      </c>
      <c r="C383" s="300" t="s">
        <v>701</v>
      </c>
      <c r="D383" s="311"/>
      <c r="E383" s="322"/>
      <c r="F383" s="322"/>
      <c r="G383" s="322"/>
    </row>
    <row r="384" spans="1:7" ht="25.5">
      <c r="A384" s="309" t="s">
        <v>1950</v>
      </c>
      <c r="B384" s="673" t="s">
        <v>704</v>
      </c>
      <c r="C384" s="296" t="s">
        <v>2211</v>
      </c>
      <c r="D384" s="310"/>
      <c r="E384" s="319"/>
      <c r="F384" s="319"/>
      <c r="G384" s="319"/>
    </row>
    <row r="385" spans="1:7" ht="24">
      <c r="A385" s="299" t="s">
        <v>1951</v>
      </c>
      <c r="B385" s="672">
        <v>305100700300000</v>
      </c>
      <c r="C385" s="300" t="s">
        <v>703</v>
      </c>
      <c r="D385" s="311"/>
      <c r="E385" s="322"/>
      <c r="F385" s="322"/>
      <c r="G385" s="322"/>
    </row>
    <row r="386" spans="1:7">
      <c r="A386" s="309" t="s">
        <v>1950</v>
      </c>
      <c r="B386" s="673" t="s">
        <v>706</v>
      </c>
      <c r="C386" s="296" t="s">
        <v>2212</v>
      </c>
      <c r="D386" s="310"/>
      <c r="E386" s="319"/>
      <c r="F386" s="319"/>
      <c r="G386" s="319"/>
    </row>
    <row r="387" spans="1:7">
      <c r="A387" s="299" t="s">
        <v>1951</v>
      </c>
      <c r="B387" s="672">
        <v>305100700400000</v>
      </c>
      <c r="C387" s="300" t="s">
        <v>705</v>
      </c>
      <c r="D387" s="311"/>
      <c r="E387" s="322"/>
      <c r="F387" s="322"/>
      <c r="G387" s="322"/>
    </row>
    <row r="388" spans="1:7">
      <c r="A388" s="309" t="s">
        <v>1950</v>
      </c>
      <c r="B388" s="673" t="s">
        <v>708</v>
      </c>
      <c r="C388" s="296" t="s">
        <v>2213</v>
      </c>
      <c r="D388" s="310"/>
      <c r="E388" s="319"/>
      <c r="F388" s="319"/>
      <c r="G388" s="319"/>
    </row>
    <row r="389" spans="1:7">
      <c r="A389" s="299" t="s">
        <v>1951</v>
      </c>
      <c r="B389" s="672">
        <v>305100700500500</v>
      </c>
      <c r="C389" s="300" t="s">
        <v>709</v>
      </c>
      <c r="D389" s="311"/>
      <c r="E389" s="322"/>
      <c r="F389" s="322"/>
      <c r="G389" s="322"/>
    </row>
    <row r="390" spans="1:7">
      <c r="A390" s="299" t="s">
        <v>1951</v>
      </c>
      <c r="B390" s="672">
        <v>305100700501000</v>
      </c>
      <c r="C390" s="300" t="s">
        <v>710</v>
      </c>
      <c r="D390" s="311"/>
      <c r="E390" s="322"/>
      <c r="F390" s="322"/>
      <c r="G390" s="322"/>
    </row>
    <row r="391" spans="1:7">
      <c r="A391" s="299" t="s">
        <v>1951</v>
      </c>
      <c r="B391" s="672">
        <v>305100700501500</v>
      </c>
      <c r="C391" s="300" t="s">
        <v>711</v>
      </c>
      <c r="D391" s="311"/>
      <c r="E391" s="322"/>
      <c r="F391" s="322"/>
      <c r="G391" s="322"/>
    </row>
    <row r="392" spans="1:7">
      <c r="A392" s="299" t="s">
        <v>1951</v>
      </c>
      <c r="B392" s="672">
        <v>305100700502000</v>
      </c>
      <c r="C392" s="300" t="s">
        <v>712</v>
      </c>
      <c r="D392" s="311"/>
      <c r="E392" s="322"/>
      <c r="F392" s="322"/>
      <c r="G392" s="322"/>
    </row>
    <row r="393" spans="1:7">
      <c r="A393" s="299" t="s">
        <v>1951</v>
      </c>
      <c r="B393" s="672">
        <v>305100700502500</v>
      </c>
      <c r="C393" s="300" t="s">
        <v>713</v>
      </c>
      <c r="D393" s="311"/>
      <c r="E393" s="322"/>
      <c r="F393" s="322"/>
      <c r="G393" s="322"/>
    </row>
    <row r="394" spans="1:7">
      <c r="A394" s="299" t="s">
        <v>1951</v>
      </c>
      <c r="B394" s="672">
        <v>305100700503000</v>
      </c>
      <c r="C394" s="300" t="s">
        <v>714</v>
      </c>
      <c r="D394" s="311"/>
      <c r="E394" s="322"/>
      <c r="F394" s="322"/>
      <c r="G394" s="322"/>
    </row>
    <row r="395" spans="1:7">
      <c r="A395" s="299" t="s">
        <v>1951</v>
      </c>
      <c r="B395" s="672">
        <v>305100700503500</v>
      </c>
      <c r="C395" s="300" t="s">
        <v>715</v>
      </c>
      <c r="D395" s="311"/>
      <c r="E395" s="322">
        <v>8300</v>
      </c>
      <c r="F395" s="322">
        <v>8300</v>
      </c>
      <c r="G395" s="322">
        <f>E395-F395</f>
        <v>0</v>
      </c>
    </row>
    <row r="396" spans="1:7">
      <c r="A396" s="299" t="s">
        <v>1951</v>
      </c>
      <c r="B396" s="672">
        <v>305100700504000</v>
      </c>
      <c r="C396" s="300" t="s">
        <v>716</v>
      </c>
      <c r="D396" s="311"/>
      <c r="E396" s="322">
        <v>58300.06</v>
      </c>
      <c r="F396" s="322">
        <v>3316.73</v>
      </c>
      <c r="G396" s="322">
        <f>E396-F396</f>
        <v>54983.329999999994</v>
      </c>
    </row>
    <row r="397" spans="1:7">
      <c r="A397" s="299" t="s">
        <v>1951</v>
      </c>
      <c r="B397" s="672">
        <v>305100700504500</v>
      </c>
      <c r="C397" s="300" t="s">
        <v>717</v>
      </c>
      <c r="D397" s="311"/>
      <c r="E397" s="322">
        <v>63411.34</v>
      </c>
      <c r="F397" s="322">
        <v>50000</v>
      </c>
      <c r="G397" s="322">
        <f>E397-F397</f>
        <v>13411.339999999997</v>
      </c>
    </row>
    <row r="398" spans="1:7">
      <c r="A398" s="299" t="s">
        <v>1951</v>
      </c>
      <c r="B398" s="672">
        <v>305100700509000</v>
      </c>
      <c r="C398" s="300" t="s">
        <v>707</v>
      </c>
      <c r="D398" s="311"/>
      <c r="E398" s="322"/>
      <c r="F398" s="322"/>
      <c r="G398" s="322"/>
    </row>
    <row r="399" spans="1:7" ht="25.5">
      <c r="A399" s="309" t="s">
        <v>1950</v>
      </c>
      <c r="B399" s="673" t="s">
        <v>718</v>
      </c>
      <c r="C399" s="296" t="s">
        <v>2214</v>
      </c>
      <c r="D399" s="310" t="s">
        <v>1238</v>
      </c>
      <c r="E399" s="319"/>
      <c r="F399" s="319"/>
      <c r="G399" s="319"/>
    </row>
    <row r="400" spans="1:7">
      <c r="A400" s="299" t="s">
        <v>1951</v>
      </c>
      <c r="B400" s="672">
        <v>305100700601000</v>
      </c>
      <c r="C400" s="300" t="s">
        <v>719</v>
      </c>
      <c r="D400" s="311" t="s">
        <v>1238</v>
      </c>
      <c r="E400" s="322">
        <v>553392.54</v>
      </c>
      <c r="F400" s="322"/>
      <c r="G400" s="322">
        <f>E400-F400</f>
        <v>553392.54</v>
      </c>
    </row>
    <row r="401" spans="1:7" ht="24">
      <c r="A401" s="299" t="s">
        <v>1951</v>
      </c>
      <c r="B401" s="672">
        <v>305100700609000</v>
      </c>
      <c r="C401" s="300" t="s">
        <v>720</v>
      </c>
      <c r="D401" s="311" t="s">
        <v>1238</v>
      </c>
      <c r="E401" s="322">
        <f>1128821.97+933134.03+60000</f>
        <v>2121956</v>
      </c>
      <c r="F401" s="322">
        <v>580190.76</v>
      </c>
      <c r="G401" s="322">
        <f>E401-F401</f>
        <v>1541765.24</v>
      </c>
    </row>
    <row r="402" spans="1:7">
      <c r="A402" s="309" t="s">
        <v>1950</v>
      </c>
      <c r="B402" s="673" t="s">
        <v>722</v>
      </c>
      <c r="C402" s="296" t="s">
        <v>1511</v>
      </c>
      <c r="D402" s="310" t="s">
        <v>1238</v>
      </c>
      <c r="E402" s="319"/>
      <c r="F402" s="319"/>
      <c r="G402" s="319"/>
    </row>
    <row r="403" spans="1:7">
      <c r="A403" s="299" t="s">
        <v>1951</v>
      </c>
      <c r="B403" s="672">
        <v>305100700700000</v>
      </c>
      <c r="C403" s="300" t="s">
        <v>721</v>
      </c>
      <c r="D403" s="311" t="s">
        <v>1238</v>
      </c>
      <c r="E403" s="322"/>
      <c r="F403" s="322"/>
      <c r="G403" s="322"/>
    </row>
    <row r="404" spans="1:7" ht="25.5">
      <c r="A404" s="309" t="s">
        <v>1948</v>
      </c>
      <c r="B404" s="673" t="s">
        <v>723</v>
      </c>
      <c r="C404" s="296" t="s">
        <v>2215</v>
      </c>
      <c r="D404" s="310"/>
      <c r="E404" s="319"/>
      <c r="F404" s="319"/>
      <c r="G404" s="319"/>
    </row>
    <row r="405" spans="1:7" ht="25.5">
      <c r="A405" s="309" t="s">
        <v>1950</v>
      </c>
      <c r="B405" s="673" t="s">
        <v>725</v>
      </c>
      <c r="C405" s="296" t="s">
        <v>2216</v>
      </c>
      <c r="D405" s="310" t="s">
        <v>1238</v>
      </c>
      <c r="E405" s="319"/>
      <c r="F405" s="319"/>
      <c r="G405" s="319"/>
    </row>
    <row r="406" spans="1:7" ht="24">
      <c r="A406" s="299" t="s">
        <v>1951</v>
      </c>
      <c r="B406" s="672">
        <v>305100750100000</v>
      </c>
      <c r="C406" s="300" t="s">
        <v>724</v>
      </c>
      <c r="D406" s="311" t="s">
        <v>1238</v>
      </c>
      <c r="E406" s="322">
        <v>49195.58</v>
      </c>
      <c r="F406" s="322">
        <v>1438.77</v>
      </c>
      <c r="G406" s="322">
        <f>E406-F406</f>
        <v>47756.810000000005</v>
      </c>
    </row>
    <row r="407" spans="1:7" ht="25.5">
      <c r="A407" s="309" t="s">
        <v>1950</v>
      </c>
      <c r="B407" s="673" t="s">
        <v>727</v>
      </c>
      <c r="C407" s="296" t="s">
        <v>2217</v>
      </c>
      <c r="D407" s="310"/>
      <c r="E407" s="319"/>
      <c r="F407" s="319"/>
      <c r="G407" s="319"/>
    </row>
    <row r="408" spans="1:7" ht="24">
      <c r="A408" s="299" t="s">
        <v>1951</v>
      </c>
      <c r="B408" s="672">
        <v>305100750200000</v>
      </c>
      <c r="C408" s="300" t="s">
        <v>726</v>
      </c>
      <c r="D408" s="311"/>
      <c r="E408" s="322"/>
      <c r="F408" s="322"/>
      <c r="G408" s="322"/>
    </row>
    <row r="409" spans="1:7" ht="25.5">
      <c r="A409" s="309" t="s">
        <v>1950</v>
      </c>
      <c r="B409" s="673" t="s">
        <v>728</v>
      </c>
      <c r="C409" s="296" t="s">
        <v>2218</v>
      </c>
      <c r="D409" s="310"/>
      <c r="E409" s="319"/>
      <c r="F409" s="319"/>
      <c r="G409" s="319"/>
    </row>
    <row r="410" spans="1:7" ht="25.5">
      <c r="A410" s="309" t="s">
        <v>1951</v>
      </c>
      <c r="B410" s="673" t="s">
        <v>730</v>
      </c>
      <c r="C410" s="296" t="s">
        <v>1516</v>
      </c>
      <c r="D410" s="310"/>
      <c r="E410" s="319"/>
      <c r="F410" s="319"/>
      <c r="G410" s="319"/>
    </row>
    <row r="411" spans="1:7" ht="24">
      <c r="A411" s="299" t="s">
        <v>1998</v>
      </c>
      <c r="B411" s="672">
        <v>305100750301000</v>
      </c>
      <c r="C411" s="300" t="s">
        <v>729</v>
      </c>
      <c r="D411" s="311"/>
      <c r="E411" s="322"/>
      <c r="F411" s="322"/>
      <c r="G411" s="322"/>
    </row>
    <row r="412" spans="1:7" ht="25.5">
      <c r="A412" s="309" t="s">
        <v>1951</v>
      </c>
      <c r="B412" s="673" t="s">
        <v>731</v>
      </c>
      <c r="C412" s="296" t="s">
        <v>1517</v>
      </c>
      <c r="D412" s="310"/>
      <c r="E412" s="319"/>
      <c r="F412" s="319"/>
      <c r="G412" s="319"/>
    </row>
    <row r="413" spans="1:7" ht="24">
      <c r="A413" s="299" t="s">
        <v>1998</v>
      </c>
      <c r="B413" s="672">
        <v>305100750302005</v>
      </c>
      <c r="C413" s="300" t="s">
        <v>732</v>
      </c>
      <c r="D413" s="311"/>
      <c r="E413" s="322">
        <v>170832.5</v>
      </c>
      <c r="F413" s="322">
        <v>121432.5</v>
      </c>
      <c r="G413" s="322">
        <f>E413-F413</f>
        <v>49400</v>
      </c>
    </row>
    <row r="414" spans="1:7">
      <c r="A414" s="299">
        <v>8</v>
      </c>
      <c r="B414" s="672">
        <v>305100750302010</v>
      </c>
      <c r="C414" s="300" t="s">
        <v>733</v>
      </c>
      <c r="D414" s="311"/>
      <c r="E414" s="322"/>
      <c r="F414" s="322"/>
      <c r="G414" s="322"/>
    </row>
    <row r="415" spans="1:7" ht="24">
      <c r="A415" s="299">
        <v>8</v>
      </c>
      <c r="B415" s="672">
        <v>305100750302015</v>
      </c>
      <c r="C415" s="300" t="s">
        <v>734</v>
      </c>
      <c r="D415" s="311"/>
      <c r="E415" s="322"/>
      <c r="F415" s="322"/>
      <c r="G415" s="322"/>
    </row>
    <row r="416" spans="1:7" ht="25.5">
      <c r="A416" s="309">
        <v>7</v>
      </c>
      <c r="B416" s="673" t="s">
        <v>735</v>
      </c>
      <c r="C416" s="296" t="s">
        <v>2219</v>
      </c>
      <c r="D416" s="310"/>
      <c r="E416" s="319"/>
      <c r="F416" s="319"/>
      <c r="G416" s="319"/>
    </row>
    <row r="417" spans="1:7" ht="24">
      <c r="A417" s="299">
        <v>8</v>
      </c>
      <c r="B417" s="672">
        <v>305100750303005</v>
      </c>
      <c r="C417" s="300" t="s">
        <v>736</v>
      </c>
      <c r="D417" s="311"/>
      <c r="E417" s="322"/>
      <c r="F417" s="322"/>
      <c r="G417" s="322"/>
    </row>
    <row r="418" spans="1:7">
      <c r="A418" s="299">
        <v>8</v>
      </c>
      <c r="B418" s="672">
        <v>305100750303010</v>
      </c>
      <c r="C418" s="300" t="s">
        <v>737</v>
      </c>
      <c r="D418" s="311"/>
      <c r="E418" s="322"/>
      <c r="F418" s="322"/>
      <c r="G418" s="322"/>
    </row>
    <row r="419" spans="1:7">
      <c r="A419" s="299">
        <v>8</v>
      </c>
      <c r="B419" s="672">
        <v>305100750303015</v>
      </c>
      <c r="C419" s="300" t="s">
        <v>738</v>
      </c>
      <c r="D419" s="311"/>
      <c r="E419" s="322"/>
      <c r="F419" s="322"/>
      <c r="G419" s="322"/>
    </row>
    <row r="420" spans="1:7">
      <c r="A420" s="299">
        <v>8</v>
      </c>
      <c r="B420" s="672">
        <v>305100750303020</v>
      </c>
      <c r="C420" s="300" t="s">
        <v>739</v>
      </c>
      <c r="D420" s="311"/>
      <c r="E420" s="322"/>
      <c r="F420" s="322"/>
      <c r="G420" s="322"/>
    </row>
    <row r="421" spans="1:7" ht="25.5">
      <c r="A421" s="309" t="s">
        <v>1951</v>
      </c>
      <c r="B421" s="673" t="s">
        <v>740</v>
      </c>
      <c r="C421" s="296" t="s">
        <v>2220</v>
      </c>
      <c r="D421" s="310"/>
      <c r="E421" s="319"/>
      <c r="F421" s="319"/>
      <c r="G421" s="319"/>
    </row>
    <row r="422" spans="1:7">
      <c r="A422" s="299">
        <v>8</v>
      </c>
      <c r="B422" s="672">
        <v>305100750304005</v>
      </c>
      <c r="C422" s="300" t="s">
        <v>2221</v>
      </c>
      <c r="D422" s="311"/>
      <c r="E422" s="322"/>
      <c r="F422" s="322"/>
      <c r="G422" s="322"/>
    </row>
    <row r="423" spans="1:7">
      <c r="A423" s="299">
        <v>8</v>
      </c>
      <c r="B423" s="672">
        <v>305100750304010</v>
      </c>
      <c r="C423" s="300" t="s">
        <v>1938</v>
      </c>
      <c r="D423" s="311"/>
      <c r="E423" s="322"/>
      <c r="F423" s="322"/>
      <c r="G423" s="322"/>
    </row>
    <row r="424" spans="1:7">
      <c r="A424" s="299">
        <v>8</v>
      </c>
      <c r="B424" s="672">
        <v>305100750304015</v>
      </c>
      <c r="C424" s="300" t="s">
        <v>2222</v>
      </c>
      <c r="D424" s="311"/>
      <c r="E424" s="322"/>
      <c r="F424" s="322"/>
      <c r="G424" s="322"/>
    </row>
    <row r="425" spans="1:7" ht="24">
      <c r="A425" s="299">
        <v>8</v>
      </c>
      <c r="B425" s="672">
        <v>305100750304020</v>
      </c>
      <c r="C425" s="300" t="s">
        <v>2223</v>
      </c>
      <c r="D425" s="311"/>
      <c r="E425" s="322"/>
      <c r="F425" s="322"/>
      <c r="G425" s="322"/>
    </row>
    <row r="426" spans="1:7">
      <c r="A426" s="299">
        <v>8</v>
      </c>
      <c r="B426" s="672">
        <v>305100750304025</v>
      </c>
      <c r="C426" s="300" t="s">
        <v>2224</v>
      </c>
      <c r="D426" s="311"/>
      <c r="E426" s="322"/>
      <c r="F426" s="322"/>
      <c r="G426" s="322"/>
    </row>
    <row r="427" spans="1:7">
      <c r="A427" s="299">
        <v>8</v>
      </c>
      <c r="B427" s="672">
        <v>305100750304030</v>
      </c>
      <c r="C427" s="300" t="s">
        <v>2225</v>
      </c>
      <c r="D427" s="311"/>
      <c r="E427" s="322"/>
      <c r="F427" s="322"/>
      <c r="G427" s="322"/>
    </row>
    <row r="428" spans="1:7">
      <c r="A428" s="309" t="s">
        <v>1951</v>
      </c>
      <c r="B428" s="673" t="s">
        <v>741</v>
      </c>
      <c r="C428" s="296" t="s">
        <v>2226</v>
      </c>
      <c r="D428" s="310"/>
      <c r="E428" s="319"/>
      <c r="F428" s="319"/>
      <c r="G428" s="319"/>
    </row>
    <row r="429" spans="1:7">
      <c r="A429" s="299" t="s">
        <v>1998</v>
      </c>
      <c r="B429" s="672">
        <v>305100750305000</v>
      </c>
      <c r="C429" s="300" t="s">
        <v>2227</v>
      </c>
      <c r="D429" s="311"/>
      <c r="E429" s="322"/>
      <c r="F429" s="322"/>
      <c r="G429" s="322"/>
    </row>
    <row r="430" spans="1:7" ht="25.5">
      <c r="A430" s="309" t="s">
        <v>1951</v>
      </c>
      <c r="B430" s="673" t="s">
        <v>742</v>
      </c>
      <c r="C430" s="296" t="s">
        <v>2228</v>
      </c>
      <c r="D430" s="310"/>
      <c r="E430" s="319"/>
      <c r="F430" s="319"/>
      <c r="G430" s="319"/>
    </row>
    <row r="431" spans="1:7">
      <c r="A431" s="299">
        <v>8</v>
      </c>
      <c r="B431" s="672">
        <v>305100750306005</v>
      </c>
      <c r="C431" s="300" t="s">
        <v>743</v>
      </c>
      <c r="D431" s="311"/>
      <c r="E431" s="322">
        <v>1494939.6</v>
      </c>
      <c r="F431" s="322">
        <v>1350543.11</v>
      </c>
      <c r="G431" s="322">
        <f>E431-F431</f>
        <v>144396.49</v>
      </c>
    </row>
    <row r="432" spans="1:7">
      <c r="A432" s="299">
        <v>8</v>
      </c>
      <c r="B432" s="672">
        <v>305100750306010</v>
      </c>
      <c r="C432" s="300" t="s">
        <v>744</v>
      </c>
      <c r="D432" s="311"/>
      <c r="E432" s="322"/>
      <c r="F432" s="322">
        <v>0</v>
      </c>
      <c r="G432" s="322">
        <f t="shared" ref="G432:G439" si="0">E432-F432</f>
        <v>0</v>
      </c>
    </row>
    <row r="433" spans="1:8">
      <c r="A433" s="299">
        <v>8</v>
      </c>
      <c r="B433" s="672">
        <v>305100750306015</v>
      </c>
      <c r="C433" s="300" t="s">
        <v>745</v>
      </c>
      <c r="D433" s="311"/>
      <c r="E433" s="322"/>
      <c r="F433" s="322">
        <v>0</v>
      </c>
      <c r="G433" s="322">
        <f t="shared" si="0"/>
        <v>0</v>
      </c>
    </row>
    <row r="434" spans="1:8">
      <c r="A434" s="299">
        <v>8</v>
      </c>
      <c r="B434" s="672">
        <v>305100750306020</v>
      </c>
      <c r="C434" s="300" t="s">
        <v>746</v>
      </c>
      <c r="D434" s="311"/>
      <c r="E434" s="322"/>
      <c r="F434" s="322">
        <v>0</v>
      </c>
      <c r="G434" s="322">
        <f t="shared" si="0"/>
        <v>0</v>
      </c>
    </row>
    <row r="435" spans="1:8">
      <c r="A435" s="299">
        <v>8</v>
      </c>
      <c r="B435" s="672">
        <v>305100750306025</v>
      </c>
      <c r="C435" s="300" t="s">
        <v>747</v>
      </c>
      <c r="D435" s="311"/>
      <c r="E435" s="322">
        <v>118157.46</v>
      </c>
      <c r="F435" s="322">
        <v>149875</v>
      </c>
      <c r="G435" s="322">
        <f t="shared" si="0"/>
        <v>-31717.539999999994</v>
      </c>
    </row>
    <row r="436" spans="1:8">
      <c r="A436" s="299">
        <v>8</v>
      </c>
      <c r="B436" s="672">
        <v>305100750306030</v>
      </c>
      <c r="C436" s="300" t="s">
        <v>748</v>
      </c>
      <c r="D436" s="311"/>
      <c r="E436" s="322">
        <v>85926.79</v>
      </c>
      <c r="F436" s="322">
        <v>44508.09</v>
      </c>
      <c r="G436" s="322">
        <f t="shared" si="0"/>
        <v>41418.699999999997</v>
      </c>
    </row>
    <row r="437" spans="1:8">
      <c r="A437" s="299">
        <v>8</v>
      </c>
      <c r="B437" s="672">
        <v>305100750306035</v>
      </c>
      <c r="C437" s="300" t="s">
        <v>749</v>
      </c>
      <c r="D437" s="311"/>
      <c r="E437" s="322"/>
      <c r="F437" s="322">
        <v>0</v>
      </c>
      <c r="G437" s="322">
        <f t="shared" si="0"/>
        <v>0</v>
      </c>
    </row>
    <row r="438" spans="1:8">
      <c r="A438" s="299">
        <v>8</v>
      </c>
      <c r="B438" s="672">
        <v>305100750306040</v>
      </c>
      <c r="C438" s="300" t="s">
        <v>750</v>
      </c>
      <c r="D438" s="311"/>
      <c r="E438" s="322">
        <v>15760.45</v>
      </c>
      <c r="F438" s="322">
        <v>10855</v>
      </c>
      <c r="G438" s="322">
        <f t="shared" si="0"/>
        <v>4905.4500000000007</v>
      </c>
    </row>
    <row r="439" spans="1:8" ht="24">
      <c r="A439" s="299">
        <v>8</v>
      </c>
      <c r="B439" s="672">
        <v>305100750306090</v>
      </c>
      <c r="C439" s="300" t="s">
        <v>2229</v>
      </c>
      <c r="D439" s="311"/>
      <c r="E439" s="322"/>
      <c r="F439" s="322">
        <v>857.2</v>
      </c>
      <c r="G439" s="322">
        <f t="shared" si="0"/>
        <v>-857.2</v>
      </c>
    </row>
    <row r="440" spans="1:8" ht="25.5">
      <c r="A440" s="309" t="s">
        <v>1950</v>
      </c>
      <c r="B440" s="673" t="s">
        <v>751</v>
      </c>
      <c r="C440" s="296" t="s">
        <v>1522</v>
      </c>
      <c r="D440" s="310"/>
      <c r="E440" s="319"/>
      <c r="F440" s="319"/>
      <c r="G440" s="319"/>
    </row>
    <row r="441" spans="1:8" ht="25.5">
      <c r="A441" s="309" t="s">
        <v>1951</v>
      </c>
      <c r="B441" s="673" t="s">
        <v>753</v>
      </c>
      <c r="C441" s="296" t="s">
        <v>1523</v>
      </c>
      <c r="D441" s="310" t="s">
        <v>1238</v>
      </c>
      <c r="E441" s="319"/>
      <c r="F441" s="319"/>
      <c r="G441" s="319"/>
    </row>
    <row r="442" spans="1:8" ht="24">
      <c r="A442" s="299" t="s">
        <v>1998</v>
      </c>
      <c r="B442" s="672">
        <v>305100750401000</v>
      </c>
      <c r="C442" s="300" t="s">
        <v>752</v>
      </c>
      <c r="D442" s="311" t="s">
        <v>1238</v>
      </c>
      <c r="E442" s="322">
        <v>131952.81</v>
      </c>
      <c r="F442" s="322">
        <v>132442.98000000001</v>
      </c>
      <c r="G442" s="322">
        <f t="shared" ref="G442" si="1">E442-F442</f>
        <v>-490.17000000001281</v>
      </c>
      <c r="H442" s="667"/>
    </row>
    <row r="443" spans="1:8" ht="25.5">
      <c r="A443" s="309" t="s">
        <v>1951</v>
      </c>
      <c r="B443" s="673" t="s">
        <v>755</v>
      </c>
      <c r="C443" s="296" t="s">
        <v>1524</v>
      </c>
      <c r="D443" s="310"/>
      <c r="E443" s="319"/>
      <c r="F443" s="319"/>
      <c r="G443" s="319"/>
    </row>
    <row r="444" spans="1:8" ht="24">
      <c r="A444" s="299" t="s">
        <v>1998</v>
      </c>
      <c r="B444" s="672">
        <v>305100750402000</v>
      </c>
      <c r="C444" s="300" t="s">
        <v>754</v>
      </c>
      <c r="D444" s="311"/>
      <c r="E444" s="322"/>
      <c r="F444" s="322"/>
      <c r="G444" s="322"/>
    </row>
    <row r="445" spans="1:8" ht="25.5">
      <c r="A445" s="309" t="s">
        <v>1951</v>
      </c>
      <c r="B445" s="673" t="s">
        <v>757</v>
      </c>
      <c r="C445" s="296" t="s">
        <v>1525</v>
      </c>
      <c r="D445" s="310"/>
      <c r="E445" s="319"/>
      <c r="F445" s="319"/>
      <c r="G445" s="319"/>
    </row>
    <row r="446" spans="1:8" ht="24">
      <c r="A446" s="299" t="s">
        <v>1998</v>
      </c>
      <c r="B446" s="672">
        <v>305100750403000</v>
      </c>
      <c r="C446" s="300" t="s">
        <v>756</v>
      </c>
      <c r="D446" s="311"/>
      <c r="E446" s="322"/>
      <c r="F446" s="322"/>
      <c r="G446" s="322"/>
    </row>
    <row r="447" spans="1:8" ht="25.5">
      <c r="A447" s="309" t="s">
        <v>1948</v>
      </c>
      <c r="B447" s="673" t="s">
        <v>758</v>
      </c>
      <c r="C447" s="296" t="s">
        <v>1526</v>
      </c>
      <c r="D447" s="310"/>
      <c r="E447" s="319"/>
      <c r="F447" s="319"/>
      <c r="G447" s="319"/>
    </row>
    <row r="448" spans="1:8" ht="38.25">
      <c r="A448" s="309" t="s">
        <v>1950</v>
      </c>
      <c r="B448" s="673" t="s">
        <v>760</v>
      </c>
      <c r="C448" s="296" t="s">
        <v>2230</v>
      </c>
      <c r="D448" s="310" t="s">
        <v>1238</v>
      </c>
      <c r="E448" s="319"/>
      <c r="F448" s="319"/>
      <c r="G448" s="319"/>
    </row>
    <row r="449" spans="1:7" ht="24">
      <c r="A449" s="299" t="s">
        <v>1951</v>
      </c>
      <c r="B449" s="672">
        <v>305100800100000</v>
      </c>
      <c r="C449" s="300" t="s">
        <v>759</v>
      </c>
      <c r="D449" s="311" t="s">
        <v>1238</v>
      </c>
      <c r="E449" s="322"/>
      <c r="F449" s="322"/>
      <c r="G449" s="322"/>
    </row>
    <row r="450" spans="1:7" ht="25.5">
      <c r="A450" s="309" t="s">
        <v>1950</v>
      </c>
      <c r="B450" s="673" t="s">
        <v>762</v>
      </c>
      <c r="C450" s="296" t="s">
        <v>2231</v>
      </c>
      <c r="D450" s="310"/>
      <c r="E450" s="319"/>
      <c r="F450" s="319"/>
      <c r="G450" s="319"/>
    </row>
    <row r="451" spans="1:7" ht="24">
      <c r="A451" s="299" t="s">
        <v>1951</v>
      </c>
      <c r="B451" s="672">
        <v>305100800200000</v>
      </c>
      <c r="C451" s="300" t="s">
        <v>761</v>
      </c>
      <c r="D451" s="311"/>
      <c r="E451" s="322"/>
      <c r="F451" s="322"/>
      <c r="G451" s="322"/>
    </row>
    <row r="452" spans="1:7" ht="25.5">
      <c r="A452" s="309" t="s">
        <v>1950</v>
      </c>
      <c r="B452" s="673" t="s">
        <v>764</v>
      </c>
      <c r="C452" s="296" t="s">
        <v>1529</v>
      </c>
      <c r="D452" s="310"/>
      <c r="E452" s="319"/>
      <c r="F452" s="319"/>
      <c r="G452" s="319"/>
    </row>
    <row r="453" spans="1:7" ht="24">
      <c r="A453" s="299" t="s">
        <v>1951</v>
      </c>
      <c r="B453" s="672">
        <v>305100800300000</v>
      </c>
      <c r="C453" s="300" t="s">
        <v>763</v>
      </c>
      <c r="D453" s="311"/>
      <c r="E453" s="322"/>
      <c r="F453" s="322"/>
      <c r="G453" s="322"/>
    </row>
    <row r="454" spans="1:7">
      <c r="A454" s="309" t="s">
        <v>1950</v>
      </c>
      <c r="B454" s="673" t="s">
        <v>766</v>
      </c>
      <c r="C454" s="296" t="s">
        <v>2232</v>
      </c>
      <c r="D454" s="310"/>
      <c r="E454" s="319"/>
      <c r="F454" s="319"/>
      <c r="G454" s="319"/>
    </row>
    <row r="455" spans="1:7">
      <c r="A455" s="299">
        <v>7</v>
      </c>
      <c r="B455" s="672">
        <v>305100800401000</v>
      </c>
      <c r="C455" s="300" t="s">
        <v>767</v>
      </c>
      <c r="D455" s="311"/>
      <c r="E455" s="322"/>
      <c r="F455" s="322"/>
      <c r="G455" s="322"/>
    </row>
    <row r="456" spans="1:7">
      <c r="A456" s="299">
        <v>7</v>
      </c>
      <c r="B456" s="672">
        <v>305100800402000</v>
      </c>
      <c r="C456" s="300" t="s">
        <v>603</v>
      </c>
      <c r="D456" s="311"/>
      <c r="E456" s="322"/>
      <c r="F456" s="322"/>
      <c r="G456" s="322"/>
    </row>
    <row r="457" spans="1:7" s="667" customFormat="1">
      <c r="A457" s="299">
        <v>8</v>
      </c>
      <c r="B457" s="672">
        <v>305100800403000</v>
      </c>
      <c r="C457" s="300" t="s">
        <v>2585</v>
      </c>
      <c r="D457" s="311"/>
      <c r="E457" s="322"/>
      <c r="F457" s="322"/>
      <c r="G457" s="322"/>
    </row>
    <row r="458" spans="1:7">
      <c r="A458" s="299">
        <v>7</v>
      </c>
      <c r="B458" s="672">
        <v>305100800409000</v>
      </c>
      <c r="C458" s="300" t="s">
        <v>765</v>
      </c>
      <c r="D458" s="311"/>
      <c r="E458" s="322">
        <v>2262641.04</v>
      </c>
      <c r="F458" s="322">
        <v>2281645.7000000002</v>
      </c>
      <c r="G458" s="322">
        <f t="shared" ref="G458" si="2">E458-F458</f>
        <v>-19004.660000000149</v>
      </c>
    </row>
    <row r="459" spans="1:7" ht="25.5">
      <c r="A459" s="309" t="s">
        <v>1950</v>
      </c>
      <c r="B459" s="673" t="s">
        <v>769</v>
      </c>
      <c r="C459" s="296" t="s">
        <v>2233</v>
      </c>
      <c r="D459" s="310"/>
      <c r="E459" s="319"/>
      <c r="F459" s="319"/>
      <c r="G459" s="319"/>
    </row>
    <row r="460" spans="1:7">
      <c r="A460" s="299" t="s">
        <v>1951</v>
      </c>
      <c r="B460" s="672">
        <v>305100800500000</v>
      </c>
      <c r="C460" s="300" t="s">
        <v>768</v>
      </c>
      <c r="D460" s="311"/>
      <c r="E460" s="322"/>
      <c r="F460" s="322"/>
      <c r="G460" s="322"/>
    </row>
    <row r="461" spans="1:7" ht="25.5">
      <c r="A461" s="309" t="s">
        <v>1950</v>
      </c>
      <c r="B461" s="673" t="s">
        <v>771</v>
      </c>
      <c r="C461" s="296" t="s">
        <v>1532</v>
      </c>
      <c r="D461" s="310" t="s">
        <v>1238</v>
      </c>
      <c r="E461" s="319"/>
      <c r="F461" s="319"/>
      <c r="G461" s="319"/>
    </row>
    <row r="462" spans="1:7" ht="24">
      <c r="A462" s="299" t="s">
        <v>1951</v>
      </c>
      <c r="B462" s="672">
        <v>305100800600000</v>
      </c>
      <c r="C462" s="300" t="s">
        <v>770</v>
      </c>
      <c r="D462" s="311" t="s">
        <v>1238</v>
      </c>
      <c r="E462" s="322"/>
      <c r="F462" s="322"/>
      <c r="G462" s="322"/>
    </row>
    <row r="463" spans="1:7" ht="25.5">
      <c r="A463" s="309" t="s">
        <v>1950</v>
      </c>
      <c r="B463" s="673" t="s">
        <v>773</v>
      </c>
      <c r="C463" s="296" t="s">
        <v>2234</v>
      </c>
      <c r="D463" s="310"/>
      <c r="E463" s="319"/>
      <c r="F463" s="319"/>
      <c r="G463" s="319"/>
    </row>
    <row r="464" spans="1:7" ht="24">
      <c r="A464" s="299" t="s">
        <v>1951</v>
      </c>
      <c r="B464" s="672">
        <v>305100800700000</v>
      </c>
      <c r="C464" s="300" t="s">
        <v>772</v>
      </c>
      <c r="D464" s="311"/>
      <c r="E464" s="322"/>
      <c r="F464" s="322"/>
      <c r="G464" s="322"/>
    </row>
    <row r="465" spans="1:7" ht="25.5">
      <c r="A465" s="309" t="s">
        <v>1948</v>
      </c>
      <c r="B465" s="673" t="s">
        <v>774</v>
      </c>
      <c r="C465" s="296" t="s">
        <v>1534</v>
      </c>
      <c r="D465" s="310"/>
      <c r="E465" s="319"/>
      <c r="F465" s="319"/>
      <c r="G465" s="319"/>
    </row>
    <row r="466" spans="1:7">
      <c r="A466" s="299" t="s">
        <v>1950</v>
      </c>
      <c r="B466" s="672">
        <v>305100850000000</v>
      </c>
      <c r="C466" s="300" t="s">
        <v>775</v>
      </c>
      <c r="D466" s="311"/>
      <c r="E466" s="322"/>
      <c r="F466" s="322"/>
      <c r="G466" s="322"/>
    </row>
    <row r="467" spans="1:7">
      <c r="A467" s="309" t="s">
        <v>1946</v>
      </c>
      <c r="B467" s="673" t="s">
        <v>776</v>
      </c>
      <c r="C467" s="296" t="s">
        <v>1535</v>
      </c>
      <c r="D467" s="310"/>
      <c r="E467" s="319"/>
      <c r="F467" s="319"/>
      <c r="G467" s="319"/>
    </row>
    <row r="468" spans="1:7">
      <c r="A468" s="309" t="s">
        <v>1948</v>
      </c>
      <c r="B468" s="673" t="s">
        <v>777</v>
      </c>
      <c r="C468" s="296" t="s">
        <v>2235</v>
      </c>
      <c r="D468" s="310"/>
      <c r="E468" s="319"/>
      <c r="F468" s="319"/>
      <c r="G468" s="319"/>
    </row>
    <row r="469" spans="1:7">
      <c r="A469" s="309" t="s">
        <v>1950</v>
      </c>
      <c r="B469" s="673" t="s">
        <v>779</v>
      </c>
      <c r="C469" s="296" t="s">
        <v>2236</v>
      </c>
      <c r="D469" s="310"/>
      <c r="E469" s="319"/>
      <c r="F469" s="319"/>
      <c r="G469" s="319"/>
    </row>
    <row r="470" spans="1:7">
      <c r="A470" s="299" t="s">
        <v>1951</v>
      </c>
      <c r="B470" s="672">
        <v>305200100500000</v>
      </c>
      <c r="C470" s="300" t="s">
        <v>778</v>
      </c>
      <c r="D470" s="311"/>
      <c r="E470" s="322">
        <v>6522.12</v>
      </c>
      <c r="F470" s="322"/>
      <c r="G470" s="322">
        <f t="shared" ref="G470" si="3">E470-F470</f>
        <v>6522.12</v>
      </c>
    </row>
    <row r="471" spans="1:7">
      <c r="A471" s="309" t="s">
        <v>1950</v>
      </c>
      <c r="B471" s="673" t="s">
        <v>781</v>
      </c>
      <c r="C471" s="296" t="s">
        <v>2237</v>
      </c>
      <c r="D471" s="310"/>
      <c r="E471" s="319"/>
      <c r="F471" s="319"/>
      <c r="G471" s="319"/>
    </row>
    <row r="472" spans="1:7">
      <c r="A472" s="299" t="s">
        <v>1951</v>
      </c>
      <c r="B472" s="672">
        <v>305200100100000</v>
      </c>
      <c r="C472" s="300" t="s">
        <v>780</v>
      </c>
      <c r="D472" s="311"/>
      <c r="E472" s="322">
        <v>51417.599999999999</v>
      </c>
      <c r="F472" s="322">
        <v>35549.53</v>
      </c>
      <c r="G472" s="322">
        <f t="shared" ref="G472" si="4">E472-F472</f>
        <v>15868.07</v>
      </c>
    </row>
    <row r="473" spans="1:7">
      <c r="A473" s="309" t="s">
        <v>1950</v>
      </c>
      <c r="B473" s="673" t="s">
        <v>782</v>
      </c>
      <c r="C473" s="296" t="s">
        <v>2238</v>
      </c>
      <c r="D473" s="310"/>
      <c r="E473" s="319"/>
      <c r="F473" s="319"/>
      <c r="G473" s="319"/>
    </row>
    <row r="474" spans="1:7">
      <c r="A474" s="309" t="s">
        <v>1951</v>
      </c>
      <c r="B474" s="673" t="s">
        <v>784</v>
      </c>
      <c r="C474" s="296" t="s">
        <v>1540</v>
      </c>
      <c r="D474" s="310"/>
      <c r="E474" s="319"/>
      <c r="F474" s="319"/>
      <c r="G474" s="319"/>
    </row>
    <row r="475" spans="1:7">
      <c r="A475" s="299" t="s">
        <v>1998</v>
      </c>
      <c r="B475" s="672">
        <v>305200100151000</v>
      </c>
      <c r="C475" s="300" t="s">
        <v>783</v>
      </c>
      <c r="D475" s="311"/>
      <c r="E475" s="322">
        <v>116472</v>
      </c>
      <c r="F475" s="322">
        <v>102809.58</v>
      </c>
      <c r="G475" s="322">
        <f t="shared" ref="G475" si="5">E475-F475</f>
        <v>13662.419999999998</v>
      </c>
    </row>
    <row r="476" spans="1:7">
      <c r="A476" s="309" t="s">
        <v>1951</v>
      </c>
      <c r="B476" s="673" t="s">
        <v>786</v>
      </c>
      <c r="C476" s="296" t="s">
        <v>1541</v>
      </c>
      <c r="D476" s="310"/>
      <c r="E476" s="319"/>
      <c r="F476" s="319"/>
      <c r="G476" s="319"/>
    </row>
    <row r="477" spans="1:7">
      <c r="A477" s="299" t="s">
        <v>1998</v>
      </c>
      <c r="B477" s="672">
        <v>305200100152000</v>
      </c>
      <c r="C477" s="300" t="s">
        <v>785</v>
      </c>
      <c r="D477" s="311"/>
      <c r="E477" s="322"/>
      <c r="F477" s="322">
        <v>19855.73</v>
      </c>
      <c r="G477" s="322">
        <f t="shared" ref="G477" si="6">E477-F477</f>
        <v>-19855.73</v>
      </c>
    </row>
    <row r="478" spans="1:7">
      <c r="A478" s="309" t="s">
        <v>1950</v>
      </c>
      <c r="B478" s="673" t="s">
        <v>788</v>
      </c>
      <c r="C478" s="296" t="s">
        <v>2239</v>
      </c>
      <c r="D478" s="310"/>
      <c r="E478" s="319"/>
      <c r="F478" s="319"/>
      <c r="G478" s="319"/>
    </row>
    <row r="479" spans="1:7">
      <c r="A479" s="299" t="s">
        <v>1951</v>
      </c>
      <c r="B479" s="672">
        <v>305200100200000</v>
      </c>
      <c r="C479" s="300" t="s">
        <v>787</v>
      </c>
      <c r="D479" s="311"/>
      <c r="E479" s="322"/>
      <c r="F479" s="322"/>
      <c r="G479" s="322"/>
    </row>
    <row r="480" spans="1:7">
      <c r="A480" s="309" t="s">
        <v>1950</v>
      </c>
      <c r="B480" s="673" t="s">
        <v>789</v>
      </c>
      <c r="C480" s="296" t="s">
        <v>2240</v>
      </c>
      <c r="D480" s="310"/>
      <c r="E480" s="319"/>
      <c r="F480" s="319"/>
      <c r="G480" s="319"/>
    </row>
    <row r="481" spans="1:8">
      <c r="A481" s="299" t="s">
        <v>1951</v>
      </c>
      <c r="B481" s="672">
        <v>305200100251000</v>
      </c>
      <c r="C481" s="300" t="s">
        <v>790</v>
      </c>
      <c r="D481" s="311"/>
      <c r="E481" s="322"/>
      <c r="F481" s="322"/>
      <c r="G481" s="322"/>
    </row>
    <row r="482" spans="1:8">
      <c r="A482" s="299" t="s">
        <v>1951</v>
      </c>
      <c r="B482" s="672">
        <v>305200100252000</v>
      </c>
      <c r="C482" s="300" t="s">
        <v>791</v>
      </c>
      <c r="D482" s="311"/>
      <c r="E482" s="322"/>
      <c r="F482" s="322"/>
      <c r="G482" s="322"/>
    </row>
    <row r="483" spans="1:8">
      <c r="A483" s="299" t="s">
        <v>1951</v>
      </c>
      <c r="B483" s="672">
        <v>305200100259000</v>
      </c>
      <c r="C483" s="300" t="s">
        <v>792</v>
      </c>
      <c r="D483" s="311"/>
      <c r="E483" s="322">
        <v>61488</v>
      </c>
      <c r="F483" s="322">
        <v>1265.6300000000001</v>
      </c>
      <c r="G483" s="322">
        <f t="shared" ref="G483" si="7">E483-F483</f>
        <v>60222.37</v>
      </c>
      <c r="H483" s="667"/>
    </row>
    <row r="484" spans="1:8">
      <c r="A484" s="309" t="s">
        <v>1950</v>
      </c>
      <c r="B484" s="673" t="s">
        <v>794</v>
      </c>
      <c r="C484" s="296" t="s">
        <v>2241</v>
      </c>
      <c r="D484" s="310"/>
      <c r="E484" s="319"/>
      <c r="F484" s="319"/>
      <c r="G484" s="319"/>
    </row>
    <row r="485" spans="1:8">
      <c r="A485" s="299" t="s">
        <v>1951</v>
      </c>
      <c r="B485" s="672">
        <v>305200100300000</v>
      </c>
      <c r="C485" s="300" t="s">
        <v>793</v>
      </c>
      <c r="D485" s="311"/>
      <c r="E485" s="322">
        <v>1716.55</v>
      </c>
      <c r="F485" s="322">
        <v>1227.31</v>
      </c>
      <c r="G485" s="322">
        <f t="shared" ref="G485" si="8">E485-F485</f>
        <v>489.24</v>
      </c>
    </row>
    <row r="486" spans="1:8">
      <c r="A486" s="309" t="s">
        <v>1950</v>
      </c>
      <c r="B486" s="673" t="s">
        <v>796</v>
      </c>
      <c r="C486" s="296" t="s">
        <v>2242</v>
      </c>
      <c r="D486" s="310"/>
      <c r="E486" s="319"/>
      <c r="F486" s="319"/>
      <c r="G486" s="319"/>
    </row>
    <row r="487" spans="1:8">
      <c r="A487" s="299" t="s">
        <v>1951</v>
      </c>
      <c r="B487" s="672">
        <v>305200100350000</v>
      </c>
      <c r="C487" s="300" t="s">
        <v>795</v>
      </c>
      <c r="D487" s="311"/>
      <c r="E487" s="322">
        <v>95873.19</v>
      </c>
      <c r="F487" s="322">
        <v>258477.87</v>
      </c>
      <c r="G487" s="322">
        <f t="shared" ref="G487" si="9">E487-F487</f>
        <v>-162604.68</v>
      </c>
    </row>
    <row r="488" spans="1:8">
      <c r="A488" s="309" t="s">
        <v>1950</v>
      </c>
      <c r="B488" s="673" t="s">
        <v>797</v>
      </c>
      <c r="C488" s="296" t="s">
        <v>2243</v>
      </c>
      <c r="D488" s="310"/>
      <c r="E488" s="319"/>
      <c r="F488" s="319"/>
      <c r="G488" s="319"/>
    </row>
    <row r="489" spans="1:8">
      <c r="A489" s="299" t="s">
        <v>1951</v>
      </c>
      <c r="B489" s="672">
        <v>305200100401000</v>
      </c>
      <c r="C489" s="300" t="s">
        <v>798</v>
      </c>
      <c r="D489" s="311"/>
      <c r="E489" s="322">
        <v>104271.58</v>
      </c>
      <c r="F489" s="322">
        <v>61504.85</v>
      </c>
      <c r="G489" s="322">
        <f t="shared" ref="G489" si="10">E489-F489</f>
        <v>42766.73</v>
      </c>
    </row>
    <row r="490" spans="1:8">
      <c r="A490" s="299" t="s">
        <v>1951</v>
      </c>
      <c r="B490" s="672">
        <v>305200100402000</v>
      </c>
      <c r="C490" s="300" t="s">
        <v>799</v>
      </c>
      <c r="D490" s="311"/>
      <c r="E490" s="322"/>
      <c r="F490" s="322"/>
      <c r="G490" s="322"/>
    </row>
    <row r="491" spans="1:8">
      <c r="A491" s="309" t="s">
        <v>1950</v>
      </c>
      <c r="B491" s="673" t="s">
        <v>801</v>
      </c>
      <c r="C491" s="296" t="s">
        <v>2244</v>
      </c>
      <c r="D491" s="310"/>
      <c r="E491" s="319"/>
      <c r="F491" s="319"/>
      <c r="G491" s="319"/>
    </row>
    <row r="492" spans="1:8">
      <c r="A492" s="299" t="s">
        <v>1951</v>
      </c>
      <c r="B492" s="672">
        <v>305200100450000</v>
      </c>
      <c r="C492" s="300" t="s">
        <v>800</v>
      </c>
      <c r="D492" s="311"/>
      <c r="E492" s="322">
        <v>16881.68</v>
      </c>
      <c r="F492" s="322">
        <v>9481.44</v>
      </c>
      <c r="G492" s="322">
        <f t="shared" ref="G492" si="11">E492-F492</f>
        <v>7400.24</v>
      </c>
    </row>
    <row r="493" spans="1:8">
      <c r="A493" s="309" t="s">
        <v>1950</v>
      </c>
      <c r="B493" s="673" t="s">
        <v>803</v>
      </c>
      <c r="C493" s="296" t="s">
        <v>2245</v>
      </c>
      <c r="D493" s="310"/>
      <c r="E493" s="319"/>
      <c r="F493" s="319"/>
      <c r="G493" s="319"/>
    </row>
    <row r="494" spans="1:8">
      <c r="A494" s="299" t="s">
        <v>1951</v>
      </c>
      <c r="B494" s="672">
        <v>305200100501000</v>
      </c>
      <c r="C494" s="300" t="s">
        <v>804</v>
      </c>
      <c r="D494" s="311"/>
      <c r="E494" s="322"/>
      <c r="F494" s="322"/>
      <c r="G494" s="322"/>
    </row>
    <row r="495" spans="1:8">
      <c r="A495" s="299" t="s">
        <v>1951</v>
      </c>
      <c r="B495" s="672">
        <v>305200100502000</v>
      </c>
      <c r="C495" s="300" t="s">
        <v>805</v>
      </c>
      <c r="D495" s="311"/>
      <c r="E495" s="322"/>
      <c r="F495" s="322"/>
      <c r="G495" s="322"/>
    </row>
    <row r="496" spans="1:8">
      <c r="A496" s="299" t="s">
        <v>1951</v>
      </c>
      <c r="B496" s="672">
        <v>305200100503000</v>
      </c>
      <c r="C496" s="300" t="s">
        <v>806</v>
      </c>
      <c r="D496" s="311"/>
      <c r="E496" s="322">
        <v>231698.02</v>
      </c>
      <c r="F496" s="322">
        <v>208162.51</v>
      </c>
      <c r="G496" s="322">
        <f t="shared" ref="G496:G497" si="12">E496-F496</f>
        <v>23535.50999999998</v>
      </c>
    </row>
    <row r="497" spans="1:7">
      <c r="A497" s="299" t="s">
        <v>1951</v>
      </c>
      <c r="B497" s="672">
        <v>305200100504000</v>
      </c>
      <c r="C497" s="300" t="s">
        <v>807</v>
      </c>
      <c r="D497" s="311"/>
      <c r="E497" s="322">
        <v>41681.5</v>
      </c>
      <c r="F497" s="322">
        <v>45831.1</v>
      </c>
      <c r="G497" s="322">
        <f t="shared" si="12"/>
        <v>-4149.5999999999985</v>
      </c>
    </row>
    <row r="498" spans="1:7">
      <c r="A498" s="299" t="s">
        <v>1951</v>
      </c>
      <c r="B498" s="672">
        <v>305200100505000</v>
      </c>
      <c r="C498" s="300" t="s">
        <v>802</v>
      </c>
      <c r="D498" s="311"/>
      <c r="E498" s="322"/>
      <c r="F498" s="322"/>
      <c r="G498" s="322"/>
    </row>
    <row r="499" spans="1:7">
      <c r="A499" s="309" t="s">
        <v>1950</v>
      </c>
      <c r="B499" s="673" t="s">
        <v>808</v>
      </c>
      <c r="C499" s="296" t="s">
        <v>2246</v>
      </c>
      <c r="D499" s="310"/>
      <c r="E499" s="319"/>
      <c r="F499" s="319"/>
      <c r="G499" s="319"/>
    </row>
    <row r="500" spans="1:7">
      <c r="A500" s="309" t="s">
        <v>1951</v>
      </c>
      <c r="B500" s="673" t="s">
        <v>809</v>
      </c>
      <c r="C500" s="296" t="s">
        <v>2247</v>
      </c>
      <c r="D500" s="310"/>
      <c r="E500" s="319"/>
      <c r="F500" s="319"/>
      <c r="G500" s="319"/>
    </row>
    <row r="501" spans="1:7">
      <c r="A501" s="299" t="s">
        <v>1998</v>
      </c>
      <c r="B501" s="672">
        <v>305200100551000</v>
      </c>
      <c r="C501" s="300" t="s">
        <v>2248</v>
      </c>
      <c r="D501" s="311"/>
      <c r="E501" s="322">
        <v>3894756.28</v>
      </c>
      <c r="F501" s="322">
        <v>3898552.5</v>
      </c>
      <c r="G501" s="322">
        <f t="shared" ref="G501" si="13">E501-F501</f>
        <v>-3796.2200000002049</v>
      </c>
    </row>
    <row r="502" spans="1:7" ht="25.5">
      <c r="A502" s="309" t="s">
        <v>1951</v>
      </c>
      <c r="B502" s="673" t="s">
        <v>811</v>
      </c>
      <c r="C502" s="296" t="s">
        <v>2249</v>
      </c>
      <c r="D502" s="310"/>
      <c r="E502" s="319"/>
      <c r="F502" s="319"/>
      <c r="G502" s="319"/>
    </row>
    <row r="503" spans="1:7">
      <c r="A503" s="299" t="s">
        <v>1998</v>
      </c>
      <c r="B503" s="672">
        <v>305200100552000</v>
      </c>
      <c r="C503" s="300" t="s">
        <v>810</v>
      </c>
      <c r="D503" s="311"/>
      <c r="E503" s="322">
        <v>34703.879999999997</v>
      </c>
      <c r="F503" s="322">
        <v>23913.54</v>
      </c>
      <c r="G503" s="322">
        <f t="shared" ref="G503" si="14">E503-F503</f>
        <v>10790.339999999997</v>
      </c>
    </row>
    <row r="504" spans="1:7">
      <c r="A504" s="309" t="s">
        <v>1950</v>
      </c>
      <c r="B504" s="673" t="s">
        <v>812</v>
      </c>
      <c r="C504" s="296" t="s">
        <v>1552</v>
      </c>
      <c r="D504" s="310"/>
      <c r="E504" s="319"/>
      <c r="F504" s="319"/>
      <c r="G504" s="319"/>
    </row>
    <row r="505" spans="1:7" ht="25.5">
      <c r="A505" s="309" t="s">
        <v>1951</v>
      </c>
      <c r="B505" s="673" t="s">
        <v>814</v>
      </c>
      <c r="C505" s="296" t="s">
        <v>1553</v>
      </c>
      <c r="D505" s="310" t="s">
        <v>1238</v>
      </c>
      <c r="E505" s="319"/>
      <c r="F505" s="319"/>
      <c r="G505" s="319"/>
    </row>
    <row r="506" spans="1:7" ht="24">
      <c r="A506" s="299" t="s">
        <v>1998</v>
      </c>
      <c r="B506" s="672">
        <v>305200100601000</v>
      </c>
      <c r="C506" s="300" t="s">
        <v>813</v>
      </c>
      <c r="D506" s="311" t="s">
        <v>1238</v>
      </c>
      <c r="E506" s="322"/>
      <c r="F506" s="322">
        <v>675</v>
      </c>
      <c r="G506" s="322">
        <f t="shared" ref="G506" si="15">E506-F506</f>
        <v>-675</v>
      </c>
    </row>
    <row r="507" spans="1:7" ht="25.5">
      <c r="A507" s="309" t="s">
        <v>1951</v>
      </c>
      <c r="B507" s="673" t="s">
        <v>815</v>
      </c>
      <c r="C507" s="296" t="s">
        <v>1554</v>
      </c>
      <c r="D507" s="310"/>
      <c r="E507" s="319"/>
      <c r="F507" s="319"/>
      <c r="G507" s="319"/>
    </row>
    <row r="508" spans="1:7">
      <c r="A508" s="299" t="s">
        <v>1998</v>
      </c>
      <c r="B508" s="672">
        <v>305200100602005</v>
      </c>
      <c r="C508" s="300" t="s">
        <v>816</v>
      </c>
      <c r="D508" s="311"/>
      <c r="E508" s="322">
        <v>147562</v>
      </c>
      <c r="F508" s="322">
        <v>1251.6199999999999</v>
      </c>
      <c r="G508" s="322">
        <f t="shared" ref="G508" si="16">E508-F508</f>
        <v>146310.38</v>
      </c>
    </row>
    <row r="509" spans="1:7">
      <c r="A509" s="299" t="s">
        <v>1998</v>
      </c>
      <c r="B509" s="672">
        <v>305200100602010</v>
      </c>
      <c r="C509" s="300" t="s">
        <v>817</v>
      </c>
      <c r="D509" s="311"/>
      <c r="E509" s="322"/>
      <c r="F509" s="322"/>
      <c r="G509" s="322"/>
    </row>
    <row r="510" spans="1:7">
      <c r="A510" s="309" t="s">
        <v>1951</v>
      </c>
      <c r="B510" s="673" t="s">
        <v>819</v>
      </c>
      <c r="C510" s="296" t="s">
        <v>1555</v>
      </c>
      <c r="D510" s="310"/>
      <c r="E510" s="319"/>
      <c r="F510" s="319"/>
      <c r="G510" s="319"/>
    </row>
    <row r="511" spans="1:7">
      <c r="A511" s="299" t="s">
        <v>1998</v>
      </c>
      <c r="B511" s="672">
        <v>305200100603005</v>
      </c>
      <c r="C511" s="300" t="s">
        <v>820</v>
      </c>
      <c r="D511" s="311"/>
      <c r="E511" s="322"/>
      <c r="F511" s="322"/>
      <c r="G511" s="322">
        <f t="shared" ref="G511:G525" si="17">E511-F511</f>
        <v>0</v>
      </c>
    </row>
    <row r="512" spans="1:7">
      <c r="A512" s="299" t="s">
        <v>1998</v>
      </c>
      <c r="B512" s="672">
        <v>305200100603010</v>
      </c>
      <c r="C512" s="300" t="s">
        <v>821</v>
      </c>
      <c r="D512" s="311"/>
      <c r="E512" s="322"/>
      <c r="F512" s="322"/>
      <c r="G512" s="322">
        <f t="shared" si="17"/>
        <v>0</v>
      </c>
    </row>
    <row r="513" spans="1:8">
      <c r="A513" s="299" t="s">
        <v>1998</v>
      </c>
      <c r="B513" s="672">
        <v>305200100603015</v>
      </c>
      <c r="C513" s="300" t="s">
        <v>822</v>
      </c>
      <c r="D513" s="311"/>
      <c r="E513" s="322">
        <v>4</v>
      </c>
      <c r="F513" s="322">
        <v>2</v>
      </c>
      <c r="G513" s="322">
        <f t="shared" si="17"/>
        <v>2</v>
      </c>
    </row>
    <row r="514" spans="1:8">
      <c r="A514" s="299" t="s">
        <v>1998</v>
      </c>
      <c r="B514" s="672">
        <v>305200100603020</v>
      </c>
      <c r="C514" s="300" t="s">
        <v>823</v>
      </c>
      <c r="D514" s="311"/>
      <c r="E514" s="322"/>
      <c r="F514" s="322">
        <v>120.34</v>
      </c>
      <c r="G514" s="322">
        <f t="shared" si="17"/>
        <v>-120.34</v>
      </c>
    </row>
    <row r="515" spans="1:8">
      <c r="A515" s="299" t="s">
        <v>1998</v>
      </c>
      <c r="B515" s="672">
        <v>305200100603025</v>
      </c>
      <c r="C515" s="300" t="s">
        <v>824</v>
      </c>
      <c r="D515" s="311"/>
      <c r="E515" s="322">
        <v>1014.5</v>
      </c>
      <c r="F515" s="322">
        <v>2247.5</v>
      </c>
      <c r="G515" s="322">
        <f t="shared" si="17"/>
        <v>-1233</v>
      </c>
    </row>
    <row r="516" spans="1:8">
      <c r="A516" s="299" t="s">
        <v>1998</v>
      </c>
      <c r="B516" s="672">
        <v>305200100603030</v>
      </c>
      <c r="C516" s="300" t="s">
        <v>825</v>
      </c>
      <c r="D516" s="311"/>
      <c r="E516" s="322">
        <v>225058.72</v>
      </c>
      <c r="F516" s="322">
        <v>202802.36</v>
      </c>
      <c r="G516" s="322">
        <f t="shared" si="17"/>
        <v>22256.360000000015</v>
      </c>
    </row>
    <row r="517" spans="1:8">
      <c r="A517" s="299" t="s">
        <v>1998</v>
      </c>
      <c r="B517" s="672">
        <v>305200100603035</v>
      </c>
      <c r="C517" s="300" t="s">
        <v>826</v>
      </c>
      <c r="D517" s="311"/>
      <c r="E517" s="322">
        <v>81401.89</v>
      </c>
      <c r="F517" s="322">
        <v>101488.06</v>
      </c>
      <c r="G517" s="322">
        <f t="shared" si="17"/>
        <v>-20086.169999999998</v>
      </c>
    </row>
    <row r="518" spans="1:8">
      <c r="A518" s="299" t="s">
        <v>1998</v>
      </c>
      <c r="B518" s="672">
        <v>305200100603040</v>
      </c>
      <c r="C518" s="300" t="s">
        <v>827</v>
      </c>
      <c r="D518" s="311"/>
      <c r="E518" s="322">
        <v>399.12</v>
      </c>
      <c r="F518" s="322">
        <v>1972.95</v>
      </c>
      <c r="G518" s="322">
        <f t="shared" si="17"/>
        <v>-1573.83</v>
      </c>
    </row>
    <row r="519" spans="1:8" s="667" customFormat="1">
      <c r="A519" s="299" t="s">
        <v>1998</v>
      </c>
      <c r="B519" s="674">
        <v>305200100603045</v>
      </c>
      <c r="C519" s="300" t="s">
        <v>828</v>
      </c>
      <c r="D519" s="311"/>
      <c r="E519" s="322">
        <v>1738</v>
      </c>
      <c r="F519" s="322">
        <v>1532</v>
      </c>
      <c r="G519" s="322">
        <f t="shared" si="17"/>
        <v>206</v>
      </c>
      <c r="H519" s="289"/>
    </row>
    <row r="520" spans="1:8" s="667" customFormat="1">
      <c r="A520" s="299" t="s">
        <v>1998</v>
      </c>
      <c r="B520" s="672">
        <v>305200100603050</v>
      </c>
      <c r="C520" s="300" t="s">
        <v>829</v>
      </c>
      <c r="D520" s="311"/>
      <c r="E520" s="322">
        <v>117.96</v>
      </c>
      <c r="F520" s="322">
        <v>1405.25</v>
      </c>
      <c r="G520" s="322">
        <f t="shared" si="17"/>
        <v>-1287.29</v>
      </c>
      <c r="H520" s="289"/>
    </row>
    <row r="521" spans="1:8">
      <c r="A521" s="299" t="s">
        <v>1998</v>
      </c>
      <c r="B521" s="672">
        <v>305200100603055</v>
      </c>
      <c r="C521" s="300" t="s">
        <v>830</v>
      </c>
      <c r="D521" s="311"/>
      <c r="E521" s="322">
        <v>176600.68</v>
      </c>
      <c r="F521" s="322">
        <v>143094.82999999999</v>
      </c>
      <c r="G521" s="322">
        <f t="shared" si="17"/>
        <v>33505.850000000006</v>
      </c>
    </row>
    <row r="522" spans="1:8">
      <c r="A522" s="299" t="s">
        <v>1998</v>
      </c>
      <c r="B522" s="672">
        <v>305200100603060</v>
      </c>
      <c r="C522" s="300" t="s">
        <v>831</v>
      </c>
      <c r="D522" s="311"/>
      <c r="E522" s="322">
        <v>17502.5</v>
      </c>
      <c r="F522" s="322">
        <v>8354.16</v>
      </c>
      <c r="G522" s="322">
        <f t="shared" si="17"/>
        <v>9148.34</v>
      </c>
    </row>
    <row r="523" spans="1:8">
      <c r="A523" s="299" t="s">
        <v>1998</v>
      </c>
      <c r="B523" s="672">
        <v>305200100603065</v>
      </c>
      <c r="C523" s="300" t="s">
        <v>832</v>
      </c>
      <c r="D523" s="311"/>
      <c r="E523" s="322">
        <v>2430.86</v>
      </c>
      <c r="F523" s="322">
        <v>34</v>
      </c>
      <c r="G523" s="322">
        <f t="shared" si="17"/>
        <v>2396.86</v>
      </c>
    </row>
    <row r="524" spans="1:8">
      <c r="A524" s="299" t="s">
        <v>1998</v>
      </c>
      <c r="B524" s="672">
        <v>305200100603080</v>
      </c>
      <c r="C524" s="300" t="s">
        <v>833</v>
      </c>
      <c r="D524" s="311"/>
      <c r="E524" s="322"/>
      <c r="F524" s="322">
        <v>0</v>
      </c>
      <c r="G524" s="322">
        <f t="shared" si="17"/>
        <v>0</v>
      </c>
    </row>
    <row r="525" spans="1:8">
      <c r="A525" s="299" t="s">
        <v>1998</v>
      </c>
      <c r="B525" s="674">
        <v>305200100603090</v>
      </c>
      <c r="C525" s="300" t="s">
        <v>818</v>
      </c>
      <c r="D525" s="311"/>
      <c r="E525" s="322">
        <v>12563831.23</v>
      </c>
      <c r="F525" s="322">
        <v>12192315.810000001</v>
      </c>
      <c r="G525" s="322">
        <f t="shared" si="17"/>
        <v>371515.41999999993</v>
      </c>
      <c r="H525" s="667"/>
    </row>
    <row r="526" spans="1:8" ht="25.5">
      <c r="A526" s="309" t="s">
        <v>1948</v>
      </c>
      <c r="B526" s="673" t="s">
        <v>834</v>
      </c>
      <c r="C526" s="296" t="s">
        <v>2250</v>
      </c>
      <c r="D526" s="310"/>
      <c r="E526" s="319"/>
      <c r="F526" s="319"/>
      <c r="G526" s="319"/>
    </row>
    <row r="527" spans="1:8" ht="25.5">
      <c r="A527" s="309" t="s">
        <v>1950</v>
      </c>
      <c r="B527" s="673" t="s">
        <v>836</v>
      </c>
      <c r="C527" s="296" t="s">
        <v>1557</v>
      </c>
      <c r="D527" s="310" t="s">
        <v>1238</v>
      </c>
      <c r="E527" s="319"/>
      <c r="F527" s="319"/>
      <c r="G527" s="319"/>
    </row>
    <row r="528" spans="1:8" ht="24">
      <c r="A528" s="299" t="s">
        <v>1951</v>
      </c>
      <c r="B528" s="672">
        <v>305200200100000</v>
      </c>
      <c r="C528" s="300" t="s">
        <v>835</v>
      </c>
      <c r="D528" s="311" t="s">
        <v>1238</v>
      </c>
      <c r="E528" s="322">
        <v>17058.68</v>
      </c>
      <c r="F528" s="322">
        <v>49503</v>
      </c>
      <c r="G528" s="322">
        <f t="shared" ref="G528" si="18">E528-F528</f>
        <v>-32444.32</v>
      </c>
    </row>
    <row r="529" spans="1:8" ht="25.5">
      <c r="A529" s="309" t="s">
        <v>1950</v>
      </c>
      <c r="B529" s="673" t="s">
        <v>838</v>
      </c>
      <c r="C529" s="296" t="s">
        <v>1558</v>
      </c>
      <c r="D529" s="310"/>
      <c r="E529" s="319"/>
      <c r="F529" s="319"/>
      <c r="G529" s="319"/>
    </row>
    <row r="530" spans="1:8">
      <c r="A530" s="299" t="s">
        <v>1951</v>
      </c>
      <c r="B530" s="672">
        <v>305200200200000</v>
      </c>
      <c r="C530" s="300" t="s">
        <v>837</v>
      </c>
      <c r="D530" s="311"/>
      <c r="E530" s="322"/>
      <c r="F530" s="322"/>
      <c r="G530" s="322"/>
    </row>
    <row r="531" spans="1:8" ht="25.5">
      <c r="A531" s="309" t="s">
        <v>1950</v>
      </c>
      <c r="B531" s="673" t="s">
        <v>839</v>
      </c>
      <c r="C531" s="296" t="s">
        <v>1559</v>
      </c>
      <c r="D531" s="310"/>
      <c r="E531" s="319"/>
      <c r="F531" s="319"/>
      <c r="G531" s="319"/>
    </row>
    <row r="532" spans="1:8">
      <c r="A532" s="309" t="s">
        <v>1951</v>
      </c>
      <c r="B532" s="673" t="s">
        <v>840</v>
      </c>
      <c r="C532" s="296" t="s">
        <v>1560</v>
      </c>
      <c r="D532" s="310"/>
      <c r="E532" s="319"/>
      <c r="F532" s="319"/>
      <c r="G532" s="319"/>
    </row>
    <row r="533" spans="1:8">
      <c r="A533" s="299" t="s">
        <v>1998</v>
      </c>
      <c r="B533" s="672">
        <v>305200200301005</v>
      </c>
      <c r="C533" s="300" t="s">
        <v>841</v>
      </c>
      <c r="D533" s="311"/>
      <c r="E533" s="322">
        <v>7515.2</v>
      </c>
      <c r="F533" s="322">
        <v>7515.2</v>
      </c>
      <c r="G533" s="322">
        <f t="shared" ref="G533:G537" si="19">E533-F533</f>
        <v>0</v>
      </c>
      <c r="H533" s="667"/>
    </row>
    <row r="534" spans="1:8">
      <c r="A534" s="299" t="s">
        <v>1998</v>
      </c>
      <c r="B534" s="672">
        <v>305200200301010</v>
      </c>
      <c r="C534" s="300" t="s">
        <v>842</v>
      </c>
      <c r="D534" s="311"/>
      <c r="E534" s="322"/>
      <c r="F534" s="322">
        <v>0</v>
      </c>
      <c r="G534" s="322">
        <f t="shared" si="19"/>
        <v>0</v>
      </c>
    </row>
    <row r="535" spans="1:8">
      <c r="A535" s="299" t="s">
        <v>1998</v>
      </c>
      <c r="B535" s="672">
        <v>305200200301015</v>
      </c>
      <c r="C535" s="300" t="s">
        <v>843</v>
      </c>
      <c r="D535" s="311"/>
      <c r="E535" s="322">
        <v>0</v>
      </c>
      <c r="F535" s="322">
        <v>0</v>
      </c>
      <c r="G535" s="322">
        <f t="shared" si="19"/>
        <v>0</v>
      </c>
    </row>
    <row r="536" spans="1:8">
      <c r="A536" s="299" t="s">
        <v>1998</v>
      </c>
      <c r="B536" s="672">
        <v>305200200301020</v>
      </c>
      <c r="C536" s="300" t="s">
        <v>844</v>
      </c>
      <c r="D536" s="311"/>
      <c r="E536" s="322"/>
      <c r="F536" s="322">
        <v>0</v>
      </c>
      <c r="G536" s="322">
        <f t="shared" si="19"/>
        <v>0</v>
      </c>
    </row>
    <row r="537" spans="1:8">
      <c r="A537" s="299" t="s">
        <v>1998</v>
      </c>
      <c r="B537" s="672">
        <v>305200200301090</v>
      </c>
      <c r="C537" s="300" t="s">
        <v>845</v>
      </c>
      <c r="D537" s="311"/>
      <c r="E537" s="322"/>
      <c r="F537" s="322">
        <v>2730.63</v>
      </c>
      <c r="G537" s="322">
        <f t="shared" si="19"/>
        <v>-2730.63</v>
      </c>
    </row>
    <row r="538" spans="1:8" ht="25.5">
      <c r="A538" s="309" t="s">
        <v>1951</v>
      </c>
      <c r="B538" s="673" t="s">
        <v>847</v>
      </c>
      <c r="C538" s="296" t="s">
        <v>1561</v>
      </c>
      <c r="D538" s="310"/>
      <c r="E538" s="319"/>
      <c r="F538" s="319"/>
      <c r="G538" s="319"/>
    </row>
    <row r="539" spans="1:8" ht="24">
      <c r="A539" s="299" t="s">
        <v>1998</v>
      </c>
      <c r="B539" s="672">
        <v>305200200302000</v>
      </c>
      <c r="C539" s="300" t="s">
        <v>846</v>
      </c>
      <c r="D539" s="311"/>
      <c r="E539" s="322"/>
      <c r="F539" s="322"/>
      <c r="G539" s="322"/>
    </row>
    <row r="540" spans="1:8" ht="25.5">
      <c r="A540" s="309" t="s">
        <v>1951</v>
      </c>
      <c r="B540" s="673" t="s">
        <v>848</v>
      </c>
      <c r="C540" s="296" t="s">
        <v>2251</v>
      </c>
      <c r="D540" s="310"/>
      <c r="E540" s="319"/>
      <c r="F540" s="319"/>
      <c r="G540" s="319"/>
    </row>
    <row r="541" spans="1:8">
      <c r="A541" s="299" t="s">
        <v>1998</v>
      </c>
      <c r="B541" s="672">
        <v>305200200303000</v>
      </c>
      <c r="C541" s="300" t="s">
        <v>2252</v>
      </c>
      <c r="D541" s="311"/>
      <c r="E541" s="322"/>
      <c r="F541" s="322"/>
      <c r="G541" s="322"/>
    </row>
    <row r="542" spans="1:8">
      <c r="A542" s="309" t="s">
        <v>1951</v>
      </c>
      <c r="B542" s="673" t="s">
        <v>849</v>
      </c>
      <c r="C542" s="296" t="s">
        <v>2253</v>
      </c>
      <c r="D542" s="310"/>
      <c r="E542" s="319"/>
      <c r="F542" s="319"/>
      <c r="G542" s="319"/>
    </row>
    <row r="543" spans="1:8">
      <c r="A543" s="299" t="s">
        <v>1998</v>
      </c>
      <c r="B543" s="672">
        <v>305200200304000</v>
      </c>
      <c r="C543" s="300" t="s">
        <v>2254</v>
      </c>
      <c r="D543" s="311"/>
      <c r="E543" s="322">
        <v>574477.9</v>
      </c>
      <c r="F543" s="322">
        <v>874802.36</v>
      </c>
      <c r="G543" s="322">
        <f t="shared" ref="G543" si="20">E543-F543</f>
        <v>-300324.45999999996</v>
      </c>
    </row>
    <row r="544" spans="1:8" ht="25.5">
      <c r="A544" s="309" t="s">
        <v>1951</v>
      </c>
      <c r="B544" s="673" t="s">
        <v>850</v>
      </c>
      <c r="C544" s="296" t="s">
        <v>2255</v>
      </c>
      <c r="D544" s="310"/>
      <c r="E544" s="319"/>
      <c r="F544" s="319"/>
      <c r="G544" s="319"/>
    </row>
    <row r="545" spans="1:7">
      <c r="A545" s="299" t="s">
        <v>1998</v>
      </c>
      <c r="B545" s="672">
        <v>305200200305010</v>
      </c>
      <c r="C545" s="300" t="s">
        <v>851</v>
      </c>
      <c r="D545" s="311"/>
      <c r="E545" s="322"/>
      <c r="F545" s="322"/>
      <c r="G545" s="322"/>
    </row>
    <row r="546" spans="1:7" ht="24">
      <c r="A546" s="299" t="s">
        <v>1998</v>
      </c>
      <c r="B546" s="672">
        <v>305200200305020</v>
      </c>
      <c r="C546" s="300" t="s">
        <v>852</v>
      </c>
      <c r="D546" s="311"/>
      <c r="E546" s="322"/>
      <c r="F546" s="322"/>
      <c r="G546" s="322"/>
    </row>
    <row r="547" spans="1:7">
      <c r="A547" s="299" t="s">
        <v>1998</v>
      </c>
      <c r="B547" s="672">
        <v>305200200305030</v>
      </c>
      <c r="C547" s="300" t="s">
        <v>853</v>
      </c>
      <c r="D547" s="311"/>
      <c r="E547" s="322"/>
      <c r="F547" s="322"/>
      <c r="G547" s="322"/>
    </row>
    <row r="548" spans="1:7">
      <c r="A548" s="299" t="s">
        <v>1998</v>
      </c>
      <c r="B548" s="672">
        <v>305200200305040</v>
      </c>
      <c r="C548" s="300" t="s">
        <v>854</v>
      </c>
      <c r="D548" s="311"/>
      <c r="E548" s="322">
        <v>33373.82</v>
      </c>
      <c r="F548" s="322">
        <v>20892.490000000002</v>
      </c>
      <c r="G548" s="322">
        <f t="shared" ref="G548:G549" si="21">E548-F548</f>
        <v>12481.329999999998</v>
      </c>
    </row>
    <row r="549" spans="1:7">
      <c r="A549" s="299" t="s">
        <v>1998</v>
      </c>
      <c r="B549" s="672">
        <v>305200200305090</v>
      </c>
      <c r="C549" s="300" t="s">
        <v>2256</v>
      </c>
      <c r="D549" s="311"/>
      <c r="E549" s="322">
        <v>90050.93</v>
      </c>
      <c r="F549" s="322">
        <v>100912.71</v>
      </c>
      <c r="G549" s="322">
        <f t="shared" si="21"/>
        <v>-10861.780000000013</v>
      </c>
    </row>
    <row r="550" spans="1:7" ht="51">
      <c r="A550" s="309" t="s">
        <v>1951</v>
      </c>
      <c r="B550" s="673" t="s">
        <v>855</v>
      </c>
      <c r="C550" s="296" t="s">
        <v>2257</v>
      </c>
      <c r="D550" s="310"/>
      <c r="E550" s="319"/>
      <c r="F550" s="319"/>
      <c r="G550" s="319"/>
    </row>
    <row r="551" spans="1:7" ht="48">
      <c r="A551" s="299" t="s">
        <v>1998</v>
      </c>
      <c r="B551" s="672">
        <v>305200200306000</v>
      </c>
      <c r="C551" s="300" t="s">
        <v>2258</v>
      </c>
      <c r="D551" s="311"/>
      <c r="E551" s="322"/>
      <c r="F551" s="322"/>
      <c r="G551" s="322"/>
    </row>
    <row r="552" spans="1:7" ht="25.5">
      <c r="A552" s="309" t="s">
        <v>1950</v>
      </c>
      <c r="B552" s="673" t="s">
        <v>856</v>
      </c>
      <c r="C552" s="296" t="s">
        <v>1566</v>
      </c>
      <c r="D552" s="310"/>
      <c r="E552" s="319"/>
      <c r="F552" s="319"/>
      <c r="G552" s="319"/>
    </row>
    <row r="553" spans="1:7" ht="38.25">
      <c r="A553" s="309" t="s">
        <v>1951</v>
      </c>
      <c r="B553" s="673" t="s">
        <v>858</v>
      </c>
      <c r="C553" s="296" t="s">
        <v>1567</v>
      </c>
      <c r="D553" s="310" t="s">
        <v>1238</v>
      </c>
      <c r="E553" s="319"/>
      <c r="F553" s="319"/>
      <c r="G553" s="319"/>
    </row>
    <row r="554" spans="1:7" ht="24">
      <c r="A554" s="299" t="s">
        <v>1998</v>
      </c>
      <c r="B554" s="672">
        <v>305200200401000</v>
      </c>
      <c r="C554" s="300" t="s">
        <v>857</v>
      </c>
      <c r="D554" s="311" t="s">
        <v>1238</v>
      </c>
      <c r="E554" s="322"/>
      <c r="F554" s="322">
        <v>2208.0100000000002</v>
      </c>
      <c r="G554" s="322">
        <f t="shared" ref="G554" si="22">E554-F554</f>
        <v>-2208.0100000000002</v>
      </c>
    </row>
    <row r="555" spans="1:7" ht="38.25">
      <c r="A555" s="309" t="s">
        <v>1951</v>
      </c>
      <c r="B555" s="673" t="s">
        <v>860</v>
      </c>
      <c r="C555" s="296" t="s">
        <v>1568</v>
      </c>
      <c r="D555" s="310"/>
      <c r="E555" s="319"/>
      <c r="F555" s="319"/>
      <c r="G555" s="319"/>
    </row>
    <row r="556" spans="1:7" ht="24">
      <c r="A556" s="299" t="s">
        <v>1998</v>
      </c>
      <c r="B556" s="672">
        <v>305200200402000</v>
      </c>
      <c r="C556" s="300" t="s">
        <v>859</v>
      </c>
      <c r="D556" s="311"/>
      <c r="E556" s="322"/>
      <c r="F556" s="322"/>
      <c r="G556" s="322"/>
    </row>
    <row r="557" spans="1:7" ht="38.25">
      <c r="A557" s="309" t="s">
        <v>1951</v>
      </c>
      <c r="B557" s="673" t="s">
        <v>862</v>
      </c>
      <c r="C557" s="296" t="s">
        <v>1569</v>
      </c>
      <c r="D557" s="310"/>
      <c r="E557" s="319"/>
      <c r="F557" s="319"/>
      <c r="G557" s="319"/>
    </row>
    <row r="558" spans="1:7" ht="24">
      <c r="A558" s="299" t="s">
        <v>1998</v>
      </c>
      <c r="B558" s="672">
        <v>305200200403000</v>
      </c>
      <c r="C558" s="300" t="s">
        <v>861</v>
      </c>
      <c r="D558" s="311"/>
      <c r="E558" s="322"/>
      <c r="F558" s="322"/>
      <c r="G558" s="322"/>
    </row>
    <row r="559" spans="1:7">
      <c r="A559" s="309" t="s">
        <v>1948</v>
      </c>
      <c r="B559" s="673" t="s">
        <v>863</v>
      </c>
      <c r="C559" s="296" t="s">
        <v>1570</v>
      </c>
      <c r="D559" s="310"/>
      <c r="E559" s="319"/>
      <c r="F559" s="319"/>
      <c r="G559" s="319"/>
    </row>
    <row r="560" spans="1:7">
      <c r="A560" s="309" t="s">
        <v>1950</v>
      </c>
      <c r="B560" s="673" t="s">
        <v>865</v>
      </c>
      <c r="C560" s="296" t="s">
        <v>1571</v>
      </c>
      <c r="D560" s="310"/>
      <c r="E560" s="319"/>
      <c r="F560" s="319"/>
      <c r="G560" s="319"/>
    </row>
    <row r="561" spans="1:7">
      <c r="A561" s="299" t="s">
        <v>1951</v>
      </c>
      <c r="B561" s="672">
        <v>305200300100000</v>
      </c>
      <c r="C561" s="300" t="s">
        <v>864</v>
      </c>
      <c r="D561" s="311"/>
      <c r="E561" s="322"/>
      <c r="F561" s="322"/>
      <c r="G561" s="322"/>
    </row>
    <row r="562" spans="1:7">
      <c r="A562" s="309" t="s">
        <v>1950</v>
      </c>
      <c r="B562" s="673" t="s">
        <v>867</v>
      </c>
      <c r="C562" s="296" t="s">
        <v>1572</v>
      </c>
      <c r="D562" s="310"/>
      <c r="E562" s="319"/>
      <c r="F562" s="319"/>
      <c r="G562" s="319"/>
    </row>
    <row r="563" spans="1:7">
      <c r="A563" s="299" t="s">
        <v>1951</v>
      </c>
      <c r="B563" s="672">
        <v>305200300200000</v>
      </c>
      <c r="C563" s="300" t="s">
        <v>866</v>
      </c>
      <c r="D563" s="311"/>
      <c r="E563" s="322">
        <v>53949.09</v>
      </c>
      <c r="F563" s="322">
        <v>33907.24</v>
      </c>
      <c r="G563" s="322">
        <f t="shared" ref="G563" si="23">E563-F563</f>
        <v>20041.849999999999</v>
      </c>
    </row>
    <row r="564" spans="1:7">
      <c r="A564" s="309" t="s">
        <v>1944</v>
      </c>
      <c r="B564" s="673" t="s">
        <v>1573</v>
      </c>
      <c r="C564" s="296" t="s">
        <v>2259</v>
      </c>
      <c r="D564" s="310"/>
      <c r="E564" s="319"/>
      <c r="F564" s="319"/>
      <c r="G564" s="319"/>
    </row>
    <row r="565" spans="1:7" ht="25.5">
      <c r="A565" s="309" t="s">
        <v>1946</v>
      </c>
      <c r="B565" s="673" t="s">
        <v>869</v>
      </c>
      <c r="C565" s="296" t="s">
        <v>2260</v>
      </c>
      <c r="D565" s="310"/>
      <c r="E565" s="319"/>
      <c r="F565" s="319"/>
      <c r="G565" s="319"/>
    </row>
    <row r="566" spans="1:7">
      <c r="A566" s="299" t="s">
        <v>1948</v>
      </c>
      <c r="B566" s="672">
        <v>310100000000000</v>
      </c>
      <c r="C566" s="300" t="s">
        <v>868</v>
      </c>
      <c r="D566" s="311"/>
      <c r="E566" s="322"/>
      <c r="F566" s="322"/>
      <c r="G566" s="322"/>
    </row>
    <row r="567" spans="1:7" ht="25.5">
      <c r="A567" s="309" t="s">
        <v>1946</v>
      </c>
      <c r="B567" s="673" t="s">
        <v>870</v>
      </c>
      <c r="C567" s="296" t="s">
        <v>2261</v>
      </c>
      <c r="D567" s="310"/>
      <c r="E567" s="319"/>
      <c r="F567" s="319"/>
      <c r="G567" s="319"/>
    </row>
    <row r="568" spans="1:7">
      <c r="A568" s="299">
        <v>5</v>
      </c>
      <c r="B568" s="672">
        <v>310200100000000</v>
      </c>
      <c r="C568" s="300" t="s">
        <v>871</v>
      </c>
      <c r="D568" s="311"/>
      <c r="E568" s="322"/>
      <c r="F568" s="322"/>
      <c r="G568" s="322"/>
    </row>
    <row r="569" spans="1:7">
      <c r="A569" s="299">
        <v>5</v>
      </c>
      <c r="B569" s="672">
        <v>310200200000000</v>
      </c>
      <c r="C569" s="300" t="s">
        <v>872</v>
      </c>
      <c r="D569" s="311"/>
      <c r="E569" s="322"/>
      <c r="F569" s="322"/>
      <c r="G569" s="322"/>
    </row>
    <row r="570" spans="1:7">
      <c r="A570" s="299">
        <v>5</v>
      </c>
      <c r="B570" s="672">
        <v>310200300000000</v>
      </c>
      <c r="C570" s="300" t="s">
        <v>873</v>
      </c>
      <c r="D570" s="311"/>
      <c r="E570" s="322"/>
      <c r="F570" s="322"/>
      <c r="G570" s="322"/>
    </row>
    <row r="571" spans="1:7" ht="25.5">
      <c r="A571" s="309" t="s">
        <v>1946</v>
      </c>
      <c r="B571" s="673" t="s">
        <v>875</v>
      </c>
      <c r="C571" s="296" t="s">
        <v>2262</v>
      </c>
      <c r="D571" s="310"/>
      <c r="E571" s="319"/>
      <c r="F571" s="319"/>
      <c r="G571" s="319"/>
    </row>
    <row r="572" spans="1:7" ht="24">
      <c r="A572" s="299" t="s">
        <v>1948</v>
      </c>
      <c r="B572" s="672">
        <v>310300000000000</v>
      </c>
      <c r="C572" s="300" t="s">
        <v>874</v>
      </c>
      <c r="D572" s="311"/>
      <c r="E572" s="322"/>
      <c r="F572" s="322"/>
      <c r="G572" s="322"/>
    </row>
    <row r="573" spans="1:7">
      <c r="A573" s="309" t="s">
        <v>1946</v>
      </c>
      <c r="B573" s="673" t="s">
        <v>877</v>
      </c>
      <c r="C573" s="296" t="s">
        <v>2263</v>
      </c>
      <c r="D573" s="310"/>
      <c r="E573" s="319"/>
      <c r="F573" s="319"/>
      <c r="G573" s="319"/>
    </row>
    <row r="574" spans="1:7">
      <c r="A574" s="299" t="s">
        <v>1948</v>
      </c>
      <c r="B574" s="672">
        <v>310400000000000</v>
      </c>
      <c r="C574" s="300" t="s">
        <v>876</v>
      </c>
      <c r="D574" s="311"/>
      <c r="E574" s="322"/>
      <c r="F574" s="322"/>
      <c r="G574" s="322"/>
    </row>
    <row r="575" spans="1:7">
      <c r="A575" s="309" t="s">
        <v>1946</v>
      </c>
      <c r="B575" s="673" t="s">
        <v>879</v>
      </c>
      <c r="C575" s="296" t="s">
        <v>2264</v>
      </c>
      <c r="D575" s="310"/>
      <c r="E575" s="319"/>
      <c r="F575" s="319"/>
      <c r="G575" s="319"/>
    </row>
    <row r="576" spans="1:7">
      <c r="A576" s="299" t="s">
        <v>1948</v>
      </c>
      <c r="B576" s="672">
        <v>310500000000000</v>
      </c>
      <c r="C576" s="300" t="s">
        <v>878</v>
      </c>
      <c r="D576" s="311"/>
      <c r="E576" s="322">
        <v>1064.03</v>
      </c>
      <c r="F576" s="322">
        <v>2901.34</v>
      </c>
      <c r="G576" s="322">
        <f t="shared" ref="G576" si="24">E576-F576</f>
        <v>-1837.3100000000002</v>
      </c>
    </row>
    <row r="577" spans="1:7">
      <c r="A577" s="309" t="s">
        <v>1946</v>
      </c>
      <c r="B577" s="673" t="s">
        <v>881</v>
      </c>
      <c r="C577" s="296" t="s">
        <v>2265</v>
      </c>
      <c r="D577" s="310"/>
      <c r="E577" s="319"/>
      <c r="F577" s="319"/>
      <c r="G577" s="319"/>
    </row>
    <row r="578" spans="1:7">
      <c r="A578" s="299" t="s">
        <v>1948</v>
      </c>
      <c r="B578" s="672">
        <v>310600100000000</v>
      </c>
      <c r="C578" s="300" t="s">
        <v>882</v>
      </c>
      <c r="D578" s="311"/>
      <c r="E578" s="322">
        <v>0</v>
      </c>
      <c r="F578" s="322"/>
      <c r="G578" s="322"/>
    </row>
    <row r="579" spans="1:7">
      <c r="A579" s="299" t="s">
        <v>1948</v>
      </c>
      <c r="B579" s="672">
        <v>310600200000000</v>
      </c>
      <c r="C579" s="300" t="s">
        <v>883</v>
      </c>
      <c r="D579" s="311"/>
      <c r="E579" s="322"/>
      <c r="F579" s="322"/>
      <c r="G579" s="322"/>
    </row>
    <row r="580" spans="1:7">
      <c r="A580" s="299" t="s">
        <v>1948</v>
      </c>
      <c r="B580" s="672">
        <v>310600300000000</v>
      </c>
      <c r="C580" s="300" t="s">
        <v>880</v>
      </c>
      <c r="D580" s="311"/>
      <c r="E580" s="322"/>
      <c r="F580" s="322"/>
      <c r="G580" s="322"/>
    </row>
    <row r="581" spans="1:7" ht="25.5">
      <c r="A581" s="309" t="s">
        <v>1946</v>
      </c>
      <c r="B581" s="673" t="s">
        <v>885</v>
      </c>
      <c r="C581" s="296" t="s">
        <v>2266</v>
      </c>
      <c r="D581" s="310" t="s">
        <v>1238</v>
      </c>
      <c r="E581" s="319"/>
      <c r="F581" s="319"/>
      <c r="G581" s="319"/>
    </row>
    <row r="582" spans="1:7" ht="24">
      <c r="A582" s="299" t="s">
        <v>1948</v>
      </c>
      <c r="B582" s="672">
        <v>310700000000000</v>
      </c>
      <c r="C582" s="300" t="s">
        <v>884</v>
      </c>
      <c r="D582" s="311" t="s">
        <v>1238</v>
      </c>
      <c r="E582" s="322"/>
      <c r="F582" s="322"/>
      <c r="G582" s="322"/>
    </row>
    <row r="583" spans="1:7">
      <c r="A583" s="309" t="s">
        <v>1944</v>
      </c>
      <c r="B583" s="673" t="s">
        <v>886</v>
      </c>
      <c r="C583" s="296" t="s">
        <v>2267</v>
      </c>
      <c r="D583" s="310"/>
      <c r="E583" s="319"/>
      <c r="F583" s="319"/>
      <c r="G583" s="319"/>
    </row>
    <row r="584" spans="1:7">
      <c r="A584" s="309" t="s">
        <v>1946</v>
      </c>
      <c r="B584" s="673" t="s">
        <v>887</v>
      </c>
      <c r="C584" s="296" t="s">
        <v>2268</v>
      </c>
      <c r="D584" s="310"/>
      <c r="E584" s="319"/>
      <c r="F584" s="319"/>
      <c r="G584" s="319"/>
    </row>
    <row r="585" spans="1:7">
      <c r="A585" s="299">
        <v>5</v>
      </c>
      <c r="B585" s="672">
        <v>315100100000000</v>
      </c>
      <c r="C585" s="300" t="s">
        <v>888</v>
      </c>
      <c r="D585" s="311"/>
      <c r="E585" s="322">
        <v>605398.89</v>
      </c>
      <c r="F585" s="322">
        <v>552744.49</v>
      </c>
      <c r="G585" s="322">
        <f t="shared" ref="G585:G586" si="25">E585-F585</f>
        <v>52654.400000000023</v>
      </c>
    </row>
    <row r="586" spans="1:7">
      <c r="A586" s="299">
        <v>5</v>
      </c>
      <c r="B586" s="672">
        <v>315100200000000</v>
      </c>
      <c r="C586" s="300" t="s">
        <v>889</v>
      </c>
      <c r="D586" s="311"/>
      <c r="E586" s="322">
        <v>82616.009999999995</v>
      </c>
      <c r="F586" s="322">
        <v>46043.29</v>
      </c>
      <c r="G586" s="322">
        <f t="shared" si="25"/>
        <v>36572.719999999994</v>
      </c>
    </row>
    <row r="587" spans="1:7">
      <c r="A587" s="309" t="s">
        <v>1946</v>
      </c>
      <c r="B587" s="673" t="s">
        <v>890</v>
      </c>
      <c r="C587" s="296" t="s">
        <v>2269</v>
      </c>
      <c r="D587" s="310"/>
      <c r="E587" s="319"/>
      <c r="F587" s="319"/>
      <c r="G587" s="319"/>
    </row>
    <row r="588" spans="1:7">
      <c r="A588" s="309" t="s">
        <v>1948</v>
      </c>
      <c r="B588" s="673" t="s">
        <v>892</v>
      </c>
      <c r="C588" s="296" t="s">
        <v>1585</v>
      </c>
      <c r="D588" s="310"/>
      <c r="E588" s="319"/>
      <c r="F588" s="319"/>
      <c r="G588" s="319"/>
    </row>
    <row r="589" spans="1:7">
      <c r="A589" s="299" t="s">
        <v>1950</v>
      </c>
      <c r="B589" s="672">
        <v>315200100000000</v>
      </c>
      <c r="C589" s="300" t="s">
        <v>891</v>
      </c>
      <c r="D589" s="311"/>
      <c r="E589" s="322">
        <v>2357042.52</v>
      </c>
      <c r="F589" s="322">
        <v>2493682.6</v>
      </c>
      <c r="G589" s="322">
        <f t="shared" ref="G589:G594" si="26">E589-F589</f>
        <v>-136640.08000000007</v>
      </c>
    </row>
    <row r="590" spans="1:7">
      <c r="A590" s="309" t="s">
        <v>1948</v>
      </c>
      <c r="B590" s="673" t="s">
        <v>893</v>
      </c>
      <c r="C590" s="296" t="s">
        <v>1586</v>
      </c>
      <c r="D590" s="310"/>
      <c r="E590" s="319"/>
      <c r="F590" s="319"/>
      <c r="G590" s="319"/>
    </row>
    <row r="591" spans="1:7">
      <c r="A591" s="299" t="s">
        <v>1950</v>
      </c>
      <c r="B591" s="672">
        <v>315200200100000</v>
      </c>
      <c r="C591" s="300" t="s">
        <v>894</v>
      </c>
      <c r="D591" s="311"/>
      <c r="E591" s="322">
        <v>24680.240000000002</v>
      </c>
      <c r="F591" s="322">
        <v>63268.1</v>
      </c>
      <c r="G591" s="322">
        <f t="shared" si="26"/>
        <v>-38587.86</v>
      </c>
    </row>
    <row r="592" spans="1:7">
      <c r="A592" s="299" t="s">
        <v>1950</v>
      </c>
      <c r="B592" s="672">
        <v>315200200200000</v>
      </c>
      <c r="C592" s="300" t="s">
        <v>895</v>
      </c>
      <c r="D592" s="311"/>
      <c r="E592" s="322">
        <v>28850.31</v>
      </c>
      <c r="F592" s="322">
        <v>27154.94</v>
      </c>
      <c r="G592" s="322">
        <f t="shared" si="26"/>
        <v>1695.3700000000026</v>
      </c>
    </row>
    <row r="593" spans="1:7">
      <c r="A593" s="299" t="s">
        <v>1950</v>
      </c>
      <c r="B593" s="672">
        <v>315200200300000</v>
      </c>
      <c r="C593" s="300" t="s">
        <v>896</v>
      </c>
      <c r="D593" s="311"/>
      <c r="E593" s="322"/>
      <c r="F593" s="322">
        <v>0</v>
      </c>
      <c r="G593" s="322">
        <f t="shared" si="26"/>
        <v>0</v>
      </c>
    </row>
    <row r="594" spans="1:7">
      <c r="A594" s="299" t="s">
        <v>1950</v>
      </c>
      <c r="B594" s="672">
        <v>315200200900000</v>
      </c>
      <c r="C594" s="300" t="s">
        <v>897</v>
      </c>
      <c r="D594" s="311"/>
      <c r="E594" s="322">
        <v>1490.82</v>
      </c>
      <c r="F594" s="322">
        <v>6.71</v>
      </c>
      <c r="G594" s="322">
        <f t="shared" si="26"/>
        <v>1484.11</v>
      </c>
    </row>
    <row r="595" spans="1:7">
      <c r="A595" s="309" t="s">
        <v>1946</v>
      </c>
      <c r="B595" s="673" t="s">
        <v>898</v>
      </c>
      <c r="C595" s="296" t="s">
        <v>2270</v>
      </c>
      <c r="D595" s="310"/>
      <c r="E595" s="319"/>
      <c r="F595" s="319"/>
      <c r="G595" s="319"/>
    </row>
    <row r="596" spans="1:7">
      <c r="A596" s="309" t="s">
        <v>1948</v>
      </c>
      <c r="B596" s="673" t="s">
        <v>899</v>
      </c>
      <c r="C596" s="296" t="s">
        <v>1588</v>
      </c>
      <c r="D596" s="310"/>
      <c r="E596" s="319"/>
      <c r="F596" s="319"/>
      <c r="G596" s="319"/>
    </row>
    <row r="597" spans="1:7">
      <c r="A597" s="299" t="s">
        <v>1950</v>
      </c>
      <c r="B597" s="672">
        <v>315300100100000</v>
      </c>
      <c r="C597" s="300" t="s">
        <v>2271</v>
      </c>
      <c r="D597" s="311"/>
      <c r="E597" s="322"/>
      <c r="F597" s="322"/>
      <c r="G597" s="322"/>
    </row>
    <row r="598" spans="1:7">
      <c r="A598" s="299" t="s">
        <v>1950</v>
      </c>
      <c r="B598" s="672">
        <v>315300100200000</v>
      </c>
      <c r="C598" s="300" t="s">
        <v>2272</v>
      </c>
      <c r="D598" s="311"/>
      <c r="E598" s="322"/>
      <c r="F598" s="322"/>
      <c r="G598" s="322"/>
    </row>
    <row r="599" spans="1:7">
      <c r="A599" s="309" t="s">
        <v>1948</v>
      </c>
      <c r="B599" s="673" t="s">
        <v>900</v>
      </c>
      <c r="C599" s="296" t="s">
        <v>1589</v>
      </c>
      <c r="D599" s="310"/>
      <c r="E599" s="319"/>
      <c r="F599" s="319"/>
      <c r="G599" s="319"/>
    </row>
    <row r="600" spans="1:7">
      <c r="A600" s="299" t="s">
        <v>1950</v>
      </c>
      <c r="B600" s="672">
        <v>315300200100000</v>
      </c>
      <c r="C600" s="300" t="s">
        <v>2273</v>
      </c>
      <c r="D600" s="311"/>
      <c r="E600" s="322"/>
      <c r="F600" s="322"/>
      <c r="G600" s="322"/>
    </row>
    <row r="601" spans="1:7">
      <c r="A601" s="299" t="s">
        <v>1950</v>
      </c>
      <c r="B601" s="672">
        <v>315300200200000</v>
      </c>
      <c r="C601" s="300" t="s">
        <v>2274</v>
      </c>
      <c r="D601" s="311"/>
      <c r="E601" s="322"/>
      <c r="F601" s="322"/>
      <c r="G601" s="322"/>
    </row>
    <row r="602" spans="1:7">
      <c r="A602" s="309" t="s">
        <v>1946</v>
      </c>
      <c r="B602" s="673" t="s">
        <v>902</v>
      </c>
      <c r="C602" s="296" t="s">
        <v>1590</v>
      </c>
      <c r="D602" s="310"/>
      <c r="E602" s="319"/>
      <c r="F602" s="319"/>
      <c r="G602" s="319"/>
    </row>
    <row r="603" spans="1:7">
      <c r="A603" s="299" t="s">
        <v>1948</v>
      </c>
      <c r="B603" s="672">
        <v>315350000000000</v>
      </c>
      <c r="C603" s="300" t="s">
        <v>901</v>
      </c>
      <c r="D603" s="311"/>
      <c r="E603" s="322"/>
      <c r="F603" s="322"/>
      <c r="G603" s="322"/>
    </row>
    <row r="604" spans="1:7" ht="25.5">
      <c r="A604" s="309" t="s">
        <v>1946</v>
      </c>
      <c r="B604" s="673" t="s">
        <v>904</v>
      </c>
      <c r="C604" s="296" t="s">
        <v>1591</v>
      </c>
      <c r="D604" s="310" t="s">
        <v>1238</v>
      </c>
      <c r="E604" s="319"/>
      <c r="F604" s="319"/>
      <c r="G604" s="319"/>
    </row>
    <row r="605" spans="1:7" ht="24">
      <c r="A605" s="299" t="s">
        <v>1948</v>
      </c>
      <c r="B605" s="672">
        <v>315400000000000</v>
      </c>
      <c r="C605" s="300" t="s">
        <v>903</v>
      </c>
      <c r="D605" s="311" t="s">
        <v>1238</v>
      </c>
      <c r="E605" s="322"/>
      <c r="F605" s="322"/>
      <c r="G605" s="322"/>
    </row>
    <row r="606" spans="1:7">
      <c r="A606" s="309">
        <v>4</v>
      </c>
      <c r="B606" s="673" t="s">
        <v>905</v>
      </c>
      <c r="C606" s="296" t="s">
        <v>2275</v>
      </c>
      <c r="D606" s="310"/>
      <c r="E606" s="319"/>
      <c r="F606" s="319"/>
      <c r="G606" s="319"/>
    </row>
    <row r="607" spans="1:7">
      <c r="A607" s="309">
        <v>5</v>
      </c>
      <c r="B607" s="673" t="s">
        <v>906</v>
      </c>
      <c r="C607" s="296" t="s">
        <v>1595</v>
      </c>
      <c r="D607" s="310"/>
      <c r="E607" s="319"/>
      <c r="F607" s="319"/>
      <c r="G607" s="319"/>
    </row>
    <row r="608" spans="1:7">
      <c r="A608" s="309">
        <v>6</v>
      </c>
      <c r="B608" s="673" t="s">
        <v>907</v>
      </c>
      <c r="C608" s="296" t="s">
        <v>1596</v>
      </c>
      <c r="D608" s="310"/>
      <c r="E608" s="319"/>
      <c r="F608" s="319"/>
      <c r="G608" s="319"/>
    </row>
    <row r="609" spans="1:7" ht="25.5">
      <c r="A609" s="309">
        <v>7</v>
      </c>
      <c r="B609" s="673" t="s">
        <v>908</v>
      </c>
      <c r="C609" s="296" t="s">
        <v>1597</v>
      </c>
      <c r="D609" s="310"/>
      <c r="E609" s="319"/>
      <c r="F609" s="319"/>
      <c r="G609" s="319"/>
    </row>
    <row r="610" spans="1:7" ht="24">
      <c r="A610" s="299">
        <v>8</v>
      </c>
      <c r="B610" s="672">
        <v>320100100101000</v>
      </c>
      <c r="C610" s="300" t="s">
        <v>2276</v>
      </c>
      <c r="D610" s="311"/>
      <c r="E610" s="322">
        <v>127063.16</v>
      </c>
      <c r="F610" s="322">
        <v>116189.75</v>
      </c>
      <c r="G610" s="322">
        <f t="shared" ref="G610:G673" si="27">E610-F610</f>
        <v>10873.410000000003</v>
      </c>
    </row>
    <row r="611" spans="1:7" ht="24">
      <c r="A611" s="299">
        <v>8</v>
      </c>
      <c r="B611" s="672">
        <v>320100100102000</v>
      </c>
      <c r="C611" s="300" t="s">
        <v>2277</v>
      </c>
      <c r="D611" s="311"/>
      <c r="E611" s="322">
        <v>51207.27</v>
      </c>
      <c r="F611" s="322">
        <v>46786.05</v>
      </c>
      <c r="G611" s="322">
        <f t="shared" si="27"/>
        <v>4421.2199999999939</v>
      </c>
    </row>
    <row r="612" spans="1:7" ht="24">
      <c r="A612" s="299">
        <v>8</v>
      </c>
      <c r="B612" s="672">
        <v>320100100103000</v>
      </c>
      <c r="C612" s="300" t="s">
        <v>2278</v>
      </c>
      <c r="D612" s="311"/>
      <c r="E612" s="322">
        <v>26525.62</v>
      </c>
      <c r="F612" s="322">
        <v>12250.77</v>
      </c>
      <c r="G612" s="322">
        <f t="shared" si="27"/>
        <v>14274.849999999999</v>
      </c>
    </row>
    <row r="613" spans="1:7" ht="24">
      <c r="A613" s="299">
        <v>8</v>
      </c>
      <c r="B613" s="672">
        <v>320100100104000</v>
      </c>
      <c r="C613" s="300" t="s">
        <v>2279</v>
      </c>
      <c r="D613" s="311"/>
      <c r="E613" s="322"/>
      <c r="F613" s="322">
        <v>3527.21</v>
      </c>
      <c r="G613" s="322">
        <f t="shared" si="27"/>
        <v>-3527.21</v>
      </c>
    </row>
    <row r="614" spans="1:7" ht="24">
      <c r="A614" s="299">
        <v>8</v>
      </c>
      <c r="B614" s="672">
        <v>320100100105000</v>
      </c>
      <c r="C614" s="300" t="s">
        <v>2280</v>
      </c>
      <c r="D614" s="311"/>
      <c r="E614" s="322"/>
      <c r="F614" s="322"/>
      <c r="G614" s="322">
        <f t="shared" si="27"/>
        <v>0</v>
      </c>
    </row>
    <row r="615" spans="1:7" ht="24">
      <c r="A615" s="299">
        <v>8</v>
      </c>
      <c r="B615" s="672">
        <v>320100100106000</v>
      </c>
      <c r="C615" s="300" t="s">
        <v>2281</v>
      </c>
      <c r="D615" s="311"/>
      <c r="E615" s="322"/>
      <c r="F615" s="322"/>
      <c r="G615" s="322">
        <f t="shared" si="27"/>
        <v>0</v>
      </c>
    </row>
    <row r="616" spans="1:7" ht="24">
      <c r="A616" s="299">
        <v>8</v>
      </c>
      <c r="B616" s="672">
        <v>320100100107000</v>
      </c>
      <c r="C616" s="300" t="s">
        <v>2282</v>
      </c>
      <c r="D616" s="311"/>
      <c r="E616" s="322"/>
      <c r="F616" s="322"/>
      <c r="G616" s="322">
        <f t="shared" si="27"/>
        <v>0</v>
      </c>
    </row>
    <row r="617" spans="1:7" ht="24">
      <c r="A617" s="299">
        <v>8</v>
      </c>
      <c r="B617" s="672">
        <v>320100100109000</v>
      </c>
      <c r="C617" s="300" t="s">
        <v>2283</v>
      </c>
      <c r="D617" s="311"/>
      <c r="E617" s="322">
        <v>59379.41</v>
      </c>
      <c r="F617" s="322">
        <v>48706.46</v>
      </c>
      <c r="G617" s="322">
        <f t="shared" si="27"/>
        <v>10672.950000000004</v>
      </c>
    </row>
    <row r="618" spans="1:7" ht="25.5">
      <c r="A618" s="309">
        <v>7</v>
      </c>
      <c r="B618" s="673" t="s">
        <v>909</v>
      </c>
      <c r="C618" s="296" t="s">
        <v>2284</v>
      </c>
      <c r="D618" s="310"/>
      <c r="E618" s="319"/>
      <c r="F618" s="319"/>
      <c r="G618" s="319">
        <f t="shared" si="27"/>
        <v>0</v>
      </c>
    </row>
    <row r="619" spans="1:7" ht="24">
      <c r="A619" s="299">
        <v>8</v>
      </c>
      <c r="B619" s="672">
        <v>320100100201000</v>
      </c>
      <c r="C619" s="300" t="s">
        <v>2285</v>
      </c>
      <c r="D619" s="311"/>
      <c r="E619" s="322"/>
      <c r="F619" s="322"/>
      <c r="G619" s="322">
        <f t="shared" si="27"/>
        <v>0</v>
      </c>
    </row>
    <row r="620" spans="1:7" ht="24">
      <c r="A620" s="299">
        <v>8</v>
      </c>
      <c r="B620" s="672">
        <v>320100100202000</v>
      </c>
      <c r="C620" s="300" t="s">
        <v>2286</v>
      </c>
      <c r="D620" s="311"/>
      <c r="E620" s="322"/>
      <c r="F620" s="322"/>
      <c r="G620" s="322">
        <f t="shared" si="27"/>
        <v>0</v>
      </c>
    </row>
    <row r="621" spans="1:7" ht="24">
      <c r="A621" s="299">
        <v>8</v>
      </c>
      <c r="B621" s="672">
        <v>320100100203000</v>
      </c>
      <c r="C621" s="300" t="s">
        <v>2287</v>
      </c>
      <c r="D621" s="311"/>
      <c r="E621" s="322"/>
      <c r="F621" s="322"/>
      <c r="G621" s="322">
        <f t="shared" si="27"/>
        <v>0</v>
      </c>
    </row>
    <row r="622" spans="1:7" ht="24">
      <c r="A622" s="299">
        <v>8</v>
      </c>
      <c r="B622" s="672">
        <v>320100100204000</v>
      </c>
      <c r="C622" s="300" t="s">
        <v>2288</v>
      </c>
      <c r="D622" s="311"/>
      <c r="E622" s="322"/>
      <c r="F622" s="322"/>
      <c r="G622" s="322">
        <f t="shared" si="27"/>
        <v>0</v>
      </c>
    </row>
    <row r="623" spans="1:7" ht="24">
      <c r="A623" s="299">
        <v>8</v>
      </c>
      <c r="B623" s="672">
        <v>320100100205000</v>
      </c>
      <c r="C623" s="300" t="s">
        <v>2289</v>
      </c>
      <c r="D623" s="311"/>
      <c r="E623" s="322"/>
      <c r="F623" s="322"/>
      <c r="G623" s="322">
        <f t="shared" si="27"/>
        <v>0</v>
      </c>
    </row>
    <row r="624" spans="1:7" ht="24">
      <c r="A624" s="299">
        <v>8</v>
      </c>
      <c r="B624" s="672">
        <v>320100100206000</v>
      </c>
      <c r="C624" s="300" t="s">
        <v>2290</v>
      </c>
      <c r="D624" s="311"/>
      <c r="E624" s="322"/>
      <c r="F624" s="322"/>
      <c r="G624" s="322">
        <f t="shared" si="27"/>
        <v>0</v>
      </c>
    </row>
    <row r="625" spans="1:7">
      <c r="A625" s="299">
        <v>8</v>
      </c>
      <c r="B625" s="672">
        <v>320100100207000</v>
      </c>
      <c r="C625" s="300" t="s">
        <v>2291</v>
      </c>
      <c r="D625" s="311"/>
      <c r="E625" s="322"/>
      <c r="F625" s="322"/>
      <c r="G625" s="322">
        <f t="shared" si="27"/>
        <v>0</v>
      </c>
    </row>
    <row r="626" spans="1:7" ht="24">
      <c r="A626" s="299">
        <v>8</v>
      </c>
      <c r="B626" s="672">
        <v>320100100209000</v>
      </c>
      <c r="C626" s="300" t="s">
        <v>2292</v>
      </c>
      <c r="D626" s="311"/>
      <c r="E626" s="322">
        <v>0</v>
      </c>
      <c r="F626" s="322"/>
      <c r="G626" s="322">
        <f t="shared" si="27"/>
        <v>0</v>
      </c>
    </row>
    <row r="627" spans="1:7">
      <c r="A627" s="309">
        <v>7</v>
      </c>
      <c r="B627" s="673" t="s">
        <v>911</v>
      </c>
      <c r="C627" s="296" t="s">
        <v>1599</v>
      </c>
      <c r="D627" s="310"/>
      <c r="E627" s="319"/>
      <c r="F627" s="319"/>
      <c r="G627" s="319">
        <f t="shared" si="27"/>
        <v>0</v>
      </c>
    </row>
    <row r="628" spans="1:7">
      <c r="A628" s="299">
        <v>8</v>
      </c>
      <c r="B628" s="672">
        <v>320100100300000</v>
      </c>
      <c r="C628" s="300" t="s">
        <v>910</v>
      </c>
      <c r="D628" s="311"/>
      <c r="E628" s="322"/>
      <c r="F628" s="322"/>
      <c r="G628" s="322">
        <f t="shared" si="27"/>
        <v>0</v>
      </c>
    </row>
    <row r="629" spans="1:7">
      <c r="A629" s="309">
        <v>6</v>
      </c>
      <c r="B629" s="673" t="s">
        <v>912</v>
      </c>
      <c r="C629" s="296" t="s">
        <v>1600</v>
      </c>
      <c r="D629" s="310"/>
      <c r="E629" s="319"/>
      <c r="F629" s="319"/>
      <c r="G629" s="319">
        <f t="shared" si="27"/>
        <v>0</v>
      </c>
    </row>
    <row r="630" spans="1:7" ht="25.5">
      <c r="A630" s="309">
        <v>7</v>
      </c>
      <c r="B630" s="673" t="s">
        <v>913</v>
      </c>
      <c r="C630" s="296" t="s">
        <v>2293</v>
      </c>
      <c r="D630" s="310"/>
      <c r="E630" s="319"/>
      <c r="F630" s="319"/>
      <c r="G630" s="319">
        <f t="shared" si="27"/>
        <v>0</v>
      </c>
    </row>
    <row r="631" spans="1:7" ht="24">
      <c r="A631" s="299">
        <v>8</v>
      </c>
      <c r="B631" s="672">
        <v>320100200101000</v>
      </c>
      <c r="C631" s="300" t="s">
        <v>2294</v>
      </c>
      <c r="D631" s="311"/>
      <c r="E631" s="322">
        <v>430476.73</v>
      </c>
      <c r="F631" s="322">
        <v>369756.69</v>
      </c>
      <c r="G631" s="322">
        <f t="shared" si="27"/>
        <v>60720.039999999979</v>
      </c>
    </row>
    <row r="632" spans="1:7" ht="24">
      <c r="A632" s="299">
        <v>8</v>
      </c>
      <c r="B632" s="672">
        <v>320100200102000</v>
      </c>
      <c r="C632" s="300" t="s">
        <v>2295</v>
      </c>
      <c r="D632" s="311"/>
      <c r="E632" s="322">
        <v>97007.05</v>
      </c>
      <c r="F632" s="322">
        <v>122190.79</v>
      </c>
      <c r="G632" s="322">
        <f t="shared" si="27"/>
        <v>-25183.739999999991</v>
      </c>
    </row>
    <row r="633" spans="1:7" ht="24">
      <c r="A633" s="299">
        <v>8</v>
      </c>
      <c r="B633" s="672">
        <v>320100200103000</v>
      </c>
      <c r="C633" s="300" t="s">
        <v>2296</v>
      </c>
      <c r="D633" s="311"/>
      <c r="E633" s="322">
        <v>33748.800000000003</v>
      </c>
      <c r="F633" s="322">
        <v>27752.31</v>
      </c>
      <c r="G633" s="322">
        <f t="shared" si="27"/>
        <v>5996.4900000000016</v>
      </c>
    </row>
    <row r="634" spans="1:7" ht="24">
      <c r="A634" s="299">
        <v>8</v>
      </c>
      <c r="B634" s="672">
        <v>320100200104000</v>
      </c>
      <c r="C634" s="300" t="s">
        <v>2297</v>
      </c>
      <c r="D634" s="311"/>
      <c r="E634" s="322"/>
      <c r="F634" s="322">
        <v>10581.65</v>
      </c>
      <c r="G634" s="322">
        <f t="shared" si="27"/>
        <v>-10581.65</v>
      </c>
    </row>
    <row r="635" spans="1:7" ht="24">
      <c r="A635" s="299">
        <v>8</v>
      </c>
      <c r="B635" s="672">
        <v>320100200105000</v>
      </c>
      <c r="C635" s="300" t="s">
        <v>2298</v>
      </c>
      <c r="D635" s="311"/>
      <c r="E635" s="322"/>
      <c r="F635" s="322"/>
      <c r="G635" s="322">
        <f t="shared" si="27"/>
        <v>0</v>
      </c>
    </row>
    <row r="636" spans="1:7" ht="24">
      <c r="A636" s="299">
        <v>8</v>
      </c>
      <c r="B636" s="672">
        <v>320100200106000</v>
      </c>
      <c r="C636" s="300" t="s">
        <v>2299</v>
      </c>
      <c r="D636" s="311"/>
      <c r="E636" s="322"/>
      <c r="F636" s="322"/>
      <c r="G636" s="322">
        <f t="shared" si="27"/>
        <v>0</v>
      </c>
    </row>
    <row r="637" spans="1:7" ht="24">
      <c r="A637" s="299">
        <v>8</v>
      </c>
      <c r="B637" s="672">
        <v>320100200107000</v>
      </c>
      <c r="C637" s="300" t="s">
        <v>2300</v>
      </c>
      <c r="D637" s="311"/>
      <c r="E637" s="322">
        <v>302.56</v>
      </c>
      <c r="F637" s="322">
        <v>1354.08</v>
      </c>
      <c r="G637" s="322">
        <f t="shared" si="27"/>
        <v>-1051.52</v>
      </c>
    </row>
    <row r="638" spans="1:7" ht="24">
      <c r="A638" s="299">
        <v>8</v>
      </c>
      <c r="B638" s="672">
        <v>320100200109000</v>
      </c>
      <c r="C638" s="300" t="s">
        <v>2301</v>
      </c>
      <c r="D638" s="311"/>
      <c r="E638" s="322">
        <v>157493.17000000001</v>
      </c>
      <c r="F638" s="322">
        <v>145061.63</v>
      </c>
      <c r="G638" s="322">
        <f t="shared" si="27"/>
        <v>12431.540000000008</v>
      </c>
    </row>
    <row r="639" spans="1:7" ht="25.5">
      <c r="A639" s="309">
        <v>7</v>
      </c>
      <c r="B639" s="673" t="s">
        <v>914</v>
      </c>
      <c r="C639" s="296" t="s">
        <v>2302</v>
      </c>
      <c r="D639" s="310"/>
      <c r="E639" s="319"/>
      <c r="F639" s="319"/>
      <c r="G639" s="319">
        <f t="shared" si="27"/>
        <v>0</v>
      </c>
    </row>
    <row r="640" spans="1:7" ht="24">
      <c r="A640" s="299">
        <v>8</v>
      </c>
      <c r="B640" s="672">
        <v>320100200201000</v>
      </c>
      <c r="C640" s="300" t="s">
        <v>2303</v>
      </c>
      <c r="D640" s="311"/>
      <c r="E640" s="322">
        <v>68569.66</v>
      </c>
      <c r="F640" s="322">
        <v>72207.350000000006</v>
      </c>
      <c r="G640" s="322">
        <f t="shared" si="27"/>
        <v>-3637.6900000000023</v>
      </c>
    </row>
    <row r="641" spans="1:7" ht="24">
      <c r="A641" s="299">
        <v>8</v>
      </c>
      <c r="B641" s="672">
        <v>320100200202000</v>
      </c>
      <c r="C641" s="300" t="s">
        <v>2304</v>
      </c>
      <c r="D641" s="311"/>
      <c r="E641" s="322">
        <v>4415.3500000000004</v>
      </c>
      <c r="F641" s="322">
        <v>1903.89</v>
      </c>
      <c r="G641" s="322">
        <f t="shared" si="27"/>
        <v>2511.46</v>
      </c>
    </row>
    <row r="642" spans="1:7" ht="24">
      <c r="A642" s="299">
        <v>8</v>
      </c>
      <c r="B642" s="672">
        <v>320100200203000</v>
      </c>
      <c r="C642" s="300" t="s">
        <v>2305</v>
      </c>
      <c r="D642" s="311"/>
      <c r="E642" s="322">
        <v>4422.22</v>
      </c>
      <c r="F642" s="322">
        <v>9000</v>
      </c>
      <c r="G642" s="322">
        <f t="shared" si="27"/>
        <v>-4577.78</v>
      </c>
    </row>
    <row r="643" spans="1:7" ht="24">
      <c r="A643" s="299">
        <v>8</v>
      </c>
      <c r="B643" s="672">
        <v>320100200204000</v>
      </c>
      <c r="C643" s="300" t="s">
        <v>2306</v>
      </c>
      <c r="D643" s="311"/>
      <c r="E643" s="322"/>
      <c r="F643" s="322"/>
      <c r="G643" s="322">
        <f t="shared" si="27"/>
        <v>0</v>
      </c>
    </row>
    <row r="644" spans="1:7" ht="24">
      <c r="A644" s="299">
        <v>8</v>
      </c>
      <c r="B644" s="672">
        <v>320100200205000</v>
      </c>
      <c r="C644" s="300" t="s">
        <v>2307</v>
      </c>
      <c r="D644" s="311"/>
      <c r="E644" s="322"/>
      <c r="F644" s="322"/>
      <c r="G644" s="322">
        <f t="shared" si="27"/>
        <v>0</v>
      </c>
    </row>
    <row r="645" spans="1:7" ht="24">
      <c r="A645" s="299">
        <v>8</v>
      </c>
      <c r="B645" s="672">
        <v>320100200206000</v>
      </c>
      <c r="C645" s="300" t="s">
        <v>2308</v>
      </c>
      <c r="D645" s="311"/>
      <c r="E645" s="322"/>
      <c r="F645" s="322"/>
      <c r="G645" s="322">
        <f t="shared" si="27"/>
        <v>0</v>
      </c>
    </row>
    <row r="646" spans="1:7" ht="24">
      <c r="A646" s="299">
        <v>8</v>
      </c>
      <c r="B646" s="672">
        <v>320100200207000</v>
      </c>
      <c r="C646" s="300" t="s">
        <v>2309</v>
      </c>
      <c r="D646" s="311"/>
      <c r="E646" s="322"/>
      <c r="F646" s="322"/>
      <c r="G646" s="322">
        <f t="shared" si="27"/>
        <v>0</v>
      </c>
    </row>
    <row r="647" spans="1:7" ht="24">
      <c r="A647" s="299">
        <v>8</v>
      </c>
      <c r="B647" s="672">
        <v>320100200209000</v>
      </c>
      <c r="C647" s="300" t="s">
        <v>2310</v>
      </c>
      <c r="D647" s="311"/>
      <c r="E647" s="322">
        <v>23998.29</v>
      </c>
      <c r="F647" s="322">
        <v>25506.91</v>
      </c>
      <c r="G647" s="322">
        <f t="shared" si="27"/>
        <v>-1508.619999999999</v>
      </c>
    </row>
    <row r="648" spans="1:7">
      <c r="A648" s="309">
        <v>7</v>
      </c>
      <c r="B648" s="673" t="s">
        <v>915</v>
      </c>
      <c r="C648" s="296" t="s">
        <v>1603</v>
      </c>
      <c r="D648" s="310"/>
      <c r="E648" s="319"/>
      <c r="F648" s="319"/>
      <c r="G648" s="319">
        <f t="shared" si="27"/>
        <v>0</v>
      </c>
    </row>
    <row r="649" spans="1:7">
      <c r="A649" s="299">
        <v>8</v>
      </c>
      <c r="B649" s="672">
        <v>320100200300000</v>
      </c>
      <c r="C649" s="300" t="s">
        <v>2311</v>
      </c>
      <c r="D649" s="311"/>
      <c r="E649" s="322"/>
      <c r="F649" s="322"/>
      <c r="G649" s="322">
        <f t="shared" si="27"/>
        <v>0</v>
      </c>
    </row>
    <row r="650" spans="1:7">
      <c r="A650" s="309">
        <v>5</v>
      </c>
      <c r="B650" s="673" t="s">
        <v>916</v>
      </c>
      <c r="C650" s="296" t="s">
        <v>1604</v>
      </c>
      <c r="D650" s="310"/>
      <c r="E650" s="319"/>
      <c r="F650" s="319"/>
      <c r="G650" s="319">
        <f t="shared" si="27"/>
        <v>0</v>
      </c>
    </row>
    <row r="651" spans="1:7" ht="25.5">
      <c r="A651" s="309">
        <v>6</v>
      </c>
      <c r="B651" s="673" t="s">
        <v>917</v>
      </c>
      <c r="C651" s="296" t="s">
        <v>2312</v>
      </c>
      <c r="D651" s="310"/>
      <c r="E651" s="319"/>
      <c r="F651" s="319"/>
      <c r="G651" s="319">
        <f t="shared" si="27"/>
        <v>0</v>
      </c>
    </row>
    <row r="652" spans="1:7" ht="24">
      <c r="A652" s="299">
        <v>8</v>
      </c>
      <c r="B652" s="672">
        <v>320200100100000</v>
      </c>
      <c r="C652" s="300" t="s">
        <v>2313</v>
      </c>
      <c r="D652" s="311"/>
      <c r="E652" s="322">
        <v>1171650.1100000001</v>
      </c>
      <c r="F652" s="322">
        <v>1192648.97</v>
      </c>
      <c r="G652" s="322">
        <f t="shared" si="27"/>
        <v>-20998.85999999987</v>
      </c>
    </row>
    <row r="653" spans="1:7" ht="24">
      <c r="A653" s="303">
        <v>8</v>
      </c>
      <c r="B653" s="675">
        <v>3202001002000</v>
      </c>
      <c r="C653" s="304" t="s">
        <v>2314</v>
      </c>
      <c r="D653" s="312"/>
      <c r="E653" s="324"/>
      <c r="F653" s="324"/>
      <c r="G653" s="324">
        <f t="shared" si="27"/>
        <v>0</v>
      </c>
    </row>
    <row r="654" spans="1:7" ht="24">
      <c r="A654" s="299">
        <v>9</v>
      </c>
      <c r="B654" s="672">
        <v>320200100201000</v>
      </c>
      <c r="C654" s="300" t="s">
        <v>2315</v>
      </c>
      <c r="D654" s="311"/>
      <c r="E654" s="322">
        <v>30952</v>
      </c>
      <c r="F654" s="322">
        <v>31031.81</v>
      </c>
      <c r="G654" s="322">
        <f t="shared" si="27"/>
        <v>-79.81000000000131</v>
      </c>
    </row>
    <row r="655" spans="1:7" ht="24">
      <c r="A655" s="299">
        <v>9</v>
      </c>
      <c r="B655" s="672">
        <v>320200100202000</v>
      </c>
      <c r="C655" s="300" t="s">
        <v>2316</v>
      </c>
      <c r="D655" s="311"/>
      <c r="E655" s="322">
        <v>141314.09</v>
      </c>
      <c r="F655" s="322">
        <v>142322.23000000001</v>
      </c>
      <c r="G655" s="322">
        <f t="shared" si="27"/>
        <v>-1008.140000000014</v>
      </c>
    </row>
    <row r="656" spans="1:7" ht="24">
      <c r="A656" s="299">
        <v>9</v>
      </c>
      <c r="B656" s="672">
        <v>320200100203000</v>
      </c>
      <c r="C656" s="300" t="s">
        <v>2317</v>
      </c>
      <c r="D656" s="311"/>
      <c r="E656" s="322">
        <v>162687.14000000001</v>
      </c>
      <c r="F656" s="322">
        <v>326086.26</v>
      </c>
      <c r="G656" s="322">
        <f t="shared" si="27"/>
        <v>-163399.12</v>
      </c>
    </row>
    <row r="657" spans="1:7" ht="24">
      <c r="A657" s="303">
        <v>8</v>
      </c>
      <c r="B657" s="675">
        <v>3202001003000</v>
      </c>
      <c r="C657" s="304" t="s">
        <v>2318</v>
      </c>
      <c r="D657" s="312"/>
      <c r="E657" s="324"/>
      <c r="F657" s="324"/>
      <c r="G657" s="324">
        <f t="shared" si="27"/>
        <v>0</v>
      </c>
    </row>
    <row r="658" spans="1:7" ht="24">
      <c r="A658" s="299">
        <v>9</v>
      </c>
      <c r="B658" s="672">
        <v>320200100301000</v>
      </c>
      <c r="C658" s="300" t="s">
        <v>2319</v>
      </c>
      <c r="D658" s="311"/>
      <c r="E658" s="322">
        <v>46101.56</v>
      </c>
      <c r="F658" s="322"/>
      <c r="G658" s="322">
        <f t="shared" si="27"/>
        <v>46101.56</v>
      </c>
    </row>
    <row r="659" spans="1:7" ht="24">
      <c r="A659" s="299">
        <v>9</v>
      </c>
      <c r="B659" s="672">
        <v>320200100302000</v>
      </c>
      <c r="C659" s="300" t="s">
        <v>2320</v>
      </c>
      <c r="D659" s="311"/>
      <c r="E659" s="322">
        <v>65304.83</v>
      </c>
      <c r="F659" s="322"/>
      <c r="G659" s="322">
        <f t="shared" si="27"/>
        <v>65304.83</v>
      </c>
    </row>
    <row r="660" spans="1:7" ht="24">
      <c r="A660" s="299">
        <v>9</v>
      </c>
      <c r="B660" s="672">
        <v>320200100303000</v>
      </c>
      <c r="C660" s="300" t="s">
        <v>2321</v>
      </c>
      <c r="D660" s="311"/>
      <c r="E660" s="322">
        <v>64525.31</v>
      </c>
      <c r="F660" s="322">
        <v>101478.54</v>
      </c>
      <c r="G660" s="322">
        <f t="shared" si="27"/>
        <v>-36953.229999999996</v>
      </c>
    </row>
    <row r="661" spans="1:7" ht="24">
      <c r="A661" s="299">
        <v>9</v>
      </c>
      <c r="B661" s="672">
        <v>320200100400000</v>
      </c>
      <c r="C661" s="300" t="s">
        <v>2322</v>
      </c>
      <c r="D661" s="311"/>
      <c r="E661" s="322"/>
      <c r="F661" s="322"/>
      <c r="G661" s="322">
        <f t="shared" si="27"/>
        <v>0</v>
      </c>
    </row>
    <row r="662" spans="1:7" ht="24">
      <c r="A662" s="299">
        <v>9</v>
      </c>
      <c r="B662" s="672">
        <v>320200100500000</v>
      </c>
      <c r="C662" s="300" t="s">
        <v>2323</v>
      </c>
      <c r="D662" s="311"/>
      <c r="E662" s="322"/>
      <c r="F662" s="322"/>
      <c r="G662" s="322">
        <f t="shared" si="27"/>
        <v>0</v>
      </c>
    </row>
    <row r="663" spans="1:7" ht="24">
      <c r="A663" s="299">
        <v>9</v>
      </c>
      <c r="B663" s="672">
        <v>320200100600000</v>
      </c>
      <c r="C663" s="300" t="s">
        <v>2324</v>
      </c>
      <c r="D663" s="311"/>
      <c r="E663" s="322">
        <v>0</v>
      </c>
      <c r="F663" s="322">
        <v>4.96</v>
      </c>
      <c r="G663" s="322">
        <f t="shared" si="27"/>
        <v>-4.96</v>
      </c>
    </row>
    <row r="664" spans="1:7" ht="24">
      <c r="A664" s="299">
        <v>9</v>
      </c>
      <c r="B664" s="672">
        <v>320200100900000</v>
      </c>
      <c r="C664" s="300" t="s">
        <v>2325</v>
      </c>
      <c r="D664" s="311"/>
      <c r="E664" s="322">
        <v>511310.01</v>
      </c>
      <c r="F664" s="322">
        <v>529368.63</v>
      </c>
      <c r="G664" s="322">
        <f t="shared" si="27"/>
        <v>-18058.619999999995</v>
      </c>
    </row>
    <row r="665" spans="1:7" ht="25.5">
      <c r="A665" s="309">
        <v>6</v>
      </c>
      <c r="B665" s="673" t="s">
        <v>918</v>
      </c>
      <c r="C665" s="296" t="s">
        <v>2326</v>
      </c>
      <c r="D665" s="310"/>
      <c r="E665" s="319"/>
      <c r="F665" s="319"/>
      <c r="G665" s="319">
        <f t="shared" si="27"/>
        <v>0</v>
      </c>
    </row>
    <row r="666" spans="1:7" ht="24">
      <c r="A666" s="303">
        <v>7</v>
      </c>
      <c r="B666" s="675">
        <v>3202002000000</v>
      </c>
      <c r="C666" s="304" t="s">
        <v>2327</v>
      </c>
      <c r="D666" s="312"/>
      <c r="E666" s="324"/>
      <c r="F666" s="324"/>
      <c r="G666" s="324">
        <f t="shared" si="27"/>
        <v>0</v>
      </c>
    </row>
    <row r="667" spans="1:7" ht="24">
      <c r="A667" s="299">
        <v>8</v>
      </c>
      <c r="B667" s="674">
        <v>320200200100000</v>
      </c>
      <c r="C667" s="300" t="s">
        <v>2328</v>
      </c>
      <c r="D667" s="311"/>
      <c r="E667" s="322">
        <v>9951.51</v>
      </c>
      <c r="F667" s="322"/>
      <c r="G667" s="322">
        <f t="shared" si="27"/>
        <v>9951.51</v>
      </c>
    </row>
    <row r="668" spans="1:7" ht="24">
      <c r="A668" s="303">
        <v>8</v>
      </c>
      <c r="B668" s="675">
        <v>3202002002000</v>
      </c>
      <c r="C668" s="304" t="s">
        <v>2329</v>
      </c>
      <c r="D668" s="312"/>
      <c r="E668" s="324"/>
      <c r="F668" s="324"/>
      <c r="G668" s="324">
        <f t="shared" si="27"/>
        <v>0</v>
      </c>
    </row>
    <row r="669" spans="1:7" ht="24">
      <c r="A669" s="299">
        <v>9</v>
      </c>
      <c r="B669" s="672">
        <v>320200200201000</v>
      </c>
      <c r="C669" s="300" t="s">
        <v>2330</v>
      </c>
      <c r="D669" s="311"/>
      <c r="E669" s="322"/>
      <c r="F669" s="322"/>
      <c r="G669" s="322">
        <f t="shared" si="27"/>
        <v>0</v>
      </c>
    </row>
    <row r="670" spans="1:7" ht="24">
      <c r="A670" s="299">
        <v>9</v>
      </c>
      <c r="B670" s="672">
        <v>320200200202000</v>
      </c>
      <c r="C670" s="300" t="s">
        <v>2331</v>
      </c>
      <c r="D670" s="311"/>
      <c r="E670" s="322">
        <v>1336.39</v>
      </c>
      <c r="F670" s="322"/>
      <c r="G670" s="322">
        <f t="shared" si="27"/>
        <v>1336.39</v>
      </c>
    </row>
    <row r="671" spans="1:7" ht="24">
      <c r="A671" s="299">
        <v>9</v>
      </c>
      <c r="B671" s="672">
        <v>320200200203000</v>
      </c>
      <c r="C671" s="300" t="s">
        <v>2332</v>
      </c>
      <c r="D671" s="311"/>
      <c r="E671" s="322">
        <v>2017.39</v>
      </c>
      <c r="F671" s="322"/>
      <c r="G671" s="322">
        <f t="shared" si="27"/>
        <v>2017.39</v>
      </c>
    </row>
    <row r="672" spans="1:7" ht="24">
      <c r="A672" s="303">
        <v>8</v>
      </c>
      <c r="B672" s="675">
        <v>3202002003000</v>
      </c>
      <c r="C672" s="304" t="s">
        <v>2333</v>
      </c>
      <c r="D672" s="312"/>
      <c r="E672" s="324"/>
      <c r="F672" s="324"/>
      <c r="G672" s="324">
        <f t="shared" si="27"/>
        <v>0</v>
      </c>
    </row>
    <row r="673" spans="1:7">
      <c r="A673" s="299">
        <v>9</v>
      </c>
      <c r="B673" s="672">
        <v>320200200301000</v>
      </c>
      <c r="C673" s="300" t="s">
        <v>2334</v>
      </c>
      <c r="D673" s="311"/>
      <c r="E673" s="322">
        <v>381.67</v>
      </c>
      <c r="F673" s="322"/>
      <c r="G673" s="322">
        <f t="shared" si="27"/>
        <v>381.67</v>
      </c>
    </row>
    <row r="674" spans="1:7" ht="24">
      <c r="A674" s="299">
        <v>9</v>
      </c>
      <c r="B674" s="672">
        <v>320200200302000</v>
      </c>
      <c r="C674" s="300" t="s">
        <v>2335</v>
      </c>
      <c r="D674" s="311"/>
      <c r="E674" s="322"/>
      <c r="F674" s="322"/>
      <c r="G674" s="322">
        <f t="shared" ref="G674:G737" si="28">E674-F674</f>
        <v>0</v>
      </c>
    </row>
    <row r="675" spans="1:7" ht="24">
      <c r="A675" s="299">
        <v>9</v>
      </c>
      <c r="B675" s="672">
        <v>320200200303000</v>
      </c>
      <c r="C675" s="300" t="s">
        <v>2336</v>
      </c>
      <c r="D675" s="311"/>
      <c r="E675" s="322">
        <v>156.03</v>
      </c>
      <c r="F675" s="322"/>
      <c r="G675" s="322">
        <f t="shared" si="28"/>
        <v>156.03</v>
      </c>
    </row>
    <row r="676" spans="1:7" ht="24">
      <c r="A676" s="299">
        <v>9</v>
      </c>
      <c r="B676" s="672">
        <v>320200200400000</v>
      </c>
      <c r="C676" s="300" t="s">
        <v>2337</v>
      </c>
      <c r="D676" s="311"/>
      <c r="E676" s="322"/>
      <c r="F676" s="322"/>
      <c r="G676" s="322">
        <f t="shared" si="28"/>
        <v>0</v>
      </c>
    </row>
    <row r="677" spans="1:7" ht="24">
      <c r="A677" s="299">
        <v>9</v>
      </c>
      <c r="B677" s="672">
        <v>320200200500000</v>
      </c>
      <c r="C677" s="300" t="s">
        <v>2338</v>
      </c>
      <c r="D677" s="311"/>
      <c r="E677" s="322"/>
      <c r="F677" s="322"/>
      <c r="G677" s="322">
        <f t="shared" si="28"/>
        <v>0</v>
      </c>
    </row>
    <row r="678" spans="1:7" ht="24">
      <c r="A678" s="299">
        <v>9</v>
      </c>
      <c r="B678" s="672">
        <v>320200200600000</v>
      </c>
      <c r="C678" s="300" t="s">
        <v>2339</v>
      </c>
      <c r="D678" s="311"/>
      <c r="E678" s="322">
        <v>0</v>
      </c>
      <c r="F678" s="322"/>
      <c r="G678" s="322">
        <f t="shared" si="28"/>
        <v>0</v>
      </c>
    </row>
    <row r="679" spans="1:7" ht="24">
      <c r="A679" s="299">
        <v>9</v>
      </c>
      <c r="B679" s="672">
        <v>320200200900000</v>
      </c>
      <c r="C679" s="300" t="s">
        <v>2340</v>
      </c>
      <c r="D679" s="311"/>
      <c r="E679" s="322">
        <v>4188.29</v>
      </c>
      <c r="F679" s="322"/>
      <c r="G679" s="322">
        <f t="shared" si="28"/>
        <v>4188.29</v>
      </c>
    </row>
    <row r="680" spans="1:7" ht="24">
      <c r="A680" s="303">
        <v>8</v>
      </c>
      <c r="B680" s="675">
        <v>3202002010000</v>
      </c>
      <c r="C680" s="304" t="s">
        <v>2341</v>
      </c>
      <c r="D680" s="312"/>
      <c r="E680" s="324"/>
      <c r="F680" s="324"/>
      <c r="G680" s="324">
        <f t="shared" si="28"/>
        <v>0</v>
      </c>
    </row>
    <row r="681" spans="1:7" ht="24">
      <c r="A681" s="299">
        <v>9</v>
      </c>
      <c r="B681" s="672">
        <v>320200201100000</v>
      </c>
      <c r="C681" s="300" t="s">
        <v>2342</v>
      </c>
      <c r="D681" s="311"/>
      <c r="E681" s="322"/>
      <c r="F681" s="322"/>
      <c r="G681" s="322">
        <f t="shared" si="28"/>
        <v>0</v>
      </c>
    </row>
    <row r="682" spans="1:7" ht="24">
      <c r="A682" s="303">
        <v>8</v>
      </c>
      <c r="B682" s="675">
        <v>3202002012000</v>
      </c>
      <c r="C682" s="304" t="s">
        <v>2343</v>
      </c>
      <c r="D682" s="312"/>
      <c r="E682" s="324"/>
      <c r="F682" s="324"/>
      <c r="G682" s="324">
        <f t="shared" si="28"/>
        <v>0</v>
      </c>
    </row>
    <row r="683" spans="1:7" ht="24">
      <c r="A683" s="299">
        <v>9</v>
      </c>
      <c r="B683" s="672">
        <v>320200201201000</v>
      </c>
      <c r="C683" s="300" t="s">
        <v>2344</v>
      </c>
      <c r="D683" s="311"/>
      <c r="E683" s="322"/>
      <c r="F683" s="322"/>
      <c r="G683" s="322">
        <f t="shared" si="28"/>
        <v>0</v>
      </c>
    </row>
    <row r="684" spans="1:7" ht="24">
      <c r="A684" s="299">
        <v>9</v>
      </c>
      <c r="B684" s="672">
        <v>320200201202000</v>
      </c>
      <c r="C684" s="300" t="s">
        <v>2345</v>
      </c>
      <c r="D684" s="311"/>
      <c r="E684" s="322"/>
      <c r="F684" s="322"/>
      <c r="G684" s="322">
        <f t="shared" si="28"/>
        <v>0</v>
      </c>
    </row>
    <row r="685" spans="1:7">
      <c r="A685" s="299">
        <v>9</v>
      </c>
      <c r="B685" s="672">
        <v>320200201203000</v>
      </c>
      <c r="C685" s="300" t="s">
        <v>2346</v>
      </c>
      <c r="D685" s="311"/>
      <c r="E685" s="322"/>
      <c r="F685" s="322"/>
      <c r="G685" s="322">
        <f t="shared" si="28"/>
        <v>0</v>
      </c>
    </row>
    <row r="686" spans="1:7" ht="24">
      <c r="A686" s="303">
        <v>8</v>
      </c>
      <c r="B686" s="675">
        <v>3202002013000</v>
      </c>
      <c r="C686" s="304" t="s">
        <v>2347</v>
      </c>
      <c r="D686" s="312"/>
      <c r="E686" s="324"/>
      <c r="F686" s="324"/>
      <c r="G686" s="324">
        <f t="shared" si="28"/>
        <v>0</v>
      </c>
    </row>
    <row r="687" spans="1:7" ht="24">
      <c r="A687" s="299">
        <v>9</v>
      </c>
      <c r="B687" s="672">
        <v>320200201301000</v>
      </c>
      <c r="C687" s="300" t="s">
        <v>2348</v>
      </c>
      <c r="D687" s="311"/>
      <c r="E687" s="322"/>
      <c r="F687" s="322"/>
      <c r="G687" s="322">
        <f t="shared" si="28"/>
        <v>0</v>
      </c>
    </row>
    <row r="688" spans="1:7" ht="24">
      <c r="A688" s="299">
        <v>9</v>
      </c>
      <c r="B688" s="672">
        <v>320200201302000</v>
      </c>
      <c r="C688" s="300" t="s">
        <v>2349</v>
      </c>
      <c r="D688" s="311"/>
      <c r="E688" s="322"/>
      <c r="F688" s="322"/>
      <c r="G688" s="322">
        <f t="shared" si="28"/>
        <v>0</v>
      </c>
    </row>
    <row r="689" spans="1:7" ht="24">
      <c r="A689" s="299">
        <v>9</v>
      </c>
      <c r="B689" s="672">
        <v>320200201303000</v>
      </c>
      <c r="C689" s="300" t="s">
        <v>2350</v>
      </c>
      <c r="D689" s="311"/>
      <c r="E689" s="322"/>
      <c r="F689" s="322"/>
      <c r="G689" s="322">
        <f t="shared" si="28"/>
        <v>0</v>
      </c>
    </row>
    <row r="690" spans="1:7" ht="24">
      <c r="A690" s="299">
        <v>9</v>
      </c>
      <c r="B690" s="672">
        <v>320200201400000</v>
      </c>
      <c r="C690" s="300" t="s">
        <v>2351</v>
      </c>
      <c r="D690" s="311"/>
      <c r="E690" s="322"/>
      <c r="F690" s="322"/>
      <c r="G690" s="322">
        <f t="shared" si="28"/>
        <v>0</v>
      </c>
    </row>
    <row r="691" spans="1:7" ht="24">
      <c r="A691" s="299">
        <v>9</v>
      </c>
      <c r="B691" s="672">
        <v>320200201500000</v>
      </c>
      <c r="C691" s="300" t="s">
        <v>2352</v>
      </c>
      <c r="D691" s="311"/>
      <c r="E691" s="322"/>
      <c r="F691" s="322"/>
      <c r="G691" s="322">
        <f t="shared" si="28"/>
        <v>0</v>
      </c>
    </row>
    <row r="692" spans="1:7" ht="24">
      <c r="A692" s="299">
        <v>9</v>
      </c>
      <c r="B692" s="672">
        <v>320200201600000</v>
      </c>
      <c r="C692" s="300" t="s">
        <v>2353</v>
      </c>
      <c r="D692" s="311"/>
      <c r="E692" s="322"/>
      <c r="F692" s="322"/>
      <c r="G692" s="322">
        <f t="shared" si="28"/>
        <v>0</v>
      </c>
    </row>
    <row r="693" spans="1:7" ht="24">
      <c r="A693" s="299">
        <v>9</v>
      </c>
      <c r="B693" s="672">
        <v>320200201900000</v>
      </c>
      <c r="C693" s="300" t="s">
        <v>2354</v>
      </c>
      <c r="D693" s="311"/>
      <c r="E693" s="322"/>
      <c r="F693" s="322"/>
      <c r="G693" s="322">
        <f t="shared" si="28"/>
        <v>0</v>
      </c>
    </row>
    <row r="694" spans="1:7" ht="24">
      <c r="A694" s="303">
        <v>7</v>
      </c>
      <c r="B694" s="675">
        <v>3202002020000</v>
      </c>
      <c r="C694" s="304" t="s">
        <v>2355</v>
      </c>
      <c r="D694" s="312"/>
      <c r="E694" s="324"/>
      <c r="F694" s="324"/>
      <c r="G694" s="324">
        <f t="shared" si="28"/>
        <v>0</v>
      </c>
    </row>
    <row r="695" spans="1:7" ht="24">
      <c r="A695" s="299">
        <v>8</v>
      </c>
      <c r="B695" s="672">
        <v>320200202100000</v>
      </c>
      <c r="C695" s="300" t="s">
        <v>2356</v>
      </c>
      <c r="D695" s="311"/>
      <c r="E695" s="322"/>
      <c r="F695" s="322"/>
      <c r="G695" s="322">
        <f t="shared" si="28"/>
        <v>0</v>
      </c>
    </row>
    <row r="696" spans="1:7" ht="24">
      <c r="A696" s="303">
        <v>8</v>
      </c>
      <c r="B696" s="675">
        <v>3202002022000</v>
      </c>
      <c r="C696" s="304" t="s">
        <v>2357</v>
      </c>
      <c r="D696" s="312"/>
      <c r="E696" s="324"/>
      <c r="F696" s="324"/>
      <c r="G696" s="324">
        <f t="shared" si="28"/>
        <v>0</v>
      </c>
    </row>
    <row r="697" spans="1:7" ht="24">
      <c r="A697" s="299">
        <v>9</v>
      </c>
      <c r="B697" s="672">
        <v>320200202201000</v>
      </c>
      <c r="C697" s="300" t="s">
        <v>2358</v>
      </c>
      <c r="D697" s="311"/>
      <c r="E697" s="322"/>
      <c r="F697" s="322"/>
      <c r="G697" s="322">
        <f t="shared" si="28"/>
        <v>0</v>
      </c>
    </row>
    <row r="698" spans="1:7" ht="24">
      <c r="A698" s="299">
        <v>9</v>
      </c>
      <c r="B698" s="672">
        <v>320200202202000</v>
      </c>
      <c r="C698" s="300" t="s">
        <v>2359</v>
      </c>
      <c r="D698" s="311"/>
      <c r="E698" s="322"/>
      <c r="F698" s="322"/>
      <c r="G698" s="322">
        <f t="shared" si="28"/>
        <v>0</v>
      </c>
    </row>
    <row r="699" spans="1:7">
      <c r="A699" s="299">
        <v>9</v>
      </c>
      <c r="B699" s="672">
        <v>320200202203000</v>
      </c>
      <c r="C699" s="300" t="s">
        <v>2360</v>
      </c>
      <c r="D699" s="311"/>
      <c r="E699" s="322"/>
      <c r="F699" s="322"/>
      <c r="G699" s="322">
        <f t="shared" si="28"/>
        <v>0</v>
      </c>
    </row>
    <row r="700" spans="1:7" ht="24">
      <c r="A700" s="303">
        <v>8</v>
      </c>
      <c r="B700" s="675">
        <v>3202002023000</v>
      </c>
      <c r="C700" s="304" t="s">
        <v>2361</v>
      </c>
      <c r="D700" s="312"/>
      <c r="E700" s="324"/>
      <c r="F700" s="324"/>
      <c r="G700" s="324">
        <f t="shared" si="28"/>
        <v>0</v>
      </c>
    </row>
    <row r="701" spans="1:7" ht="24">
      <c r="A701" s="299">
        <v>9</v>
      </c>
      <c r="B701" s="672">
        <v>320200202301000</v>
      </c>
      <c r="C701" s="300" t="s">
        <v>2362</v>
      </c>
      <c r="D701" s="311"/>
      <c r="E701" s="322"/>
      <c r="F701" s="322"/>
      <c r="G701" s="322">
        <f t="shared" si="28"/>
        <v>0</v>
      </c>
    </row>
    <row r="702" spans="1:7" ht="24">
      <c r="A702" s="299">
        <v>9</v>
      </c>
      <c r="B702" s="672">
        <v>320200202302000</v>
      </c>
      <c r="C702" s="300" t="s">
        <v>2363</v>
      </c>
      <c r="D702" s="311"/>
      <c r="E702" s="322"/>
      <c r="F702" s="322"/>
      <c r="G702" s="322">
        <f t="shared" si="28"/>
        <v>0</v>
      </c>
    </row>
    <row r="703" spans="1:7" ht="24">
      <c r="A703" s="299">
        <v>9</v>
      </c>
      <c r="B703" s="672">
        <v>320200202303000</v>
      </c>
      <c r="C703" s="300" t="s">
        <v>2364</v>
      </c>
      <c r="D703" s="311"/>
      <c r="E703" s="322"/>
      <c r="F703" s="322"/>
      <c r="G703" s="322">
        <f t="shared" si="28"/>
        <v>0</v>
      </c>
    </row>
    <row r="704" spans="1:7" ht="24">
      <c r="A704" s="299">
        <v>8</v>
      </c>
      <c r="B704" s="672">
        <v>320200202400000</v>
      </c>
      <c r="C704" s="300" t="s">
        <v>2365</v>
      </c>
      <c r="D704" s="311"/>
      <c r="E704" s="322"/>
      <c r="F704" s="322"/>
      <c r="G704" s="322">
        <f t="shared" si="28"/>
        <v>0</v>
      </c>
    </row>
    <row r="705" spans="1:7" ht="24">
      <c r="A705" s="299">
        <v>8</v>
      </c>
      <c r="B705" s="672">
        <v>320200202500000</v>
      </c>
      <c r="C705" s="300" t="s">
        <v>2366</v>
      </c>
      <c r="D705" s="311"/>
      <c r="E705" s="322"/>
      <c r="F705" s="322"/>
      <c r="G705" s="322">
        <f t="shared" si="28"/>
        <v>0</v>
      </c>
    </row>
    <row r="706" spans="1:7" ht="24">
      <c r="A706" s="299">
        <v>8</v>
      </c>
      <c r="B706" s="672">
        <v>320200202600000</v>
      </c>
      <c r="C706" s="300" t="s">
        <v>2367</v>
      </c>
      <c r="D706" s="311"/>
      <c r="E706" s="322"/>
      <c r="F706" s="322"/>
      <c r="G706" s="322">
        <f t="shared" si="28"/>
        <v>0</v>
      </c>
    </row>
    <row r="707" spans="1:7" ht="24">
      <c r="A707" s="299">
        <v>8</v>
      </c>
      <c r="B707" s="672">
        <v>320200202900000</v>
      </c>
      <c r="C707" s="300" t="s">
        <v>2368</v>
      </c>
      <c r="D707" s="311"/>
      <c r="E707" s="322"/>
      <c r="F707" s="322"/>
      <c r="G707" s="322">
        <f t="shared" si="28"/>
        <v>0</v>
      </c>
    </row>
    <row r="708" spans="1:7">
      <c r="A708" s="309">
        <v>6</v>
      </c>
      <c r="B708" s="673" t="s">
        <v>920</v>
      </c>
      <c r="C708" s="296" t="s">
        <v>1607</v>
      </c>
      <c r="D708" s="310"/>
      <c r="E708" s="319"/>
      <c r="F708" s="319"/>
      <c r="G708" s="319">
        <f t="shared" si="28"/>
        <v>0</v>
      </c>
    </row>
    <row r="709" spans="1:7">
      <c r="A709" s="299">
        <v>7</v>
      </c>
      <c r="B709" s="672">
        <v>320200300000000</v>
      </c>
      <c r="C709" s="300" t="s">
        <v>919</v>
      </c>
      <c r="D709" s="311"/>
      <c r="E709" s="322"/>
      <c r="F709" s="322"/>
      <c r="G709" s="322">
        <f t="shared" si="28"/>
        <v>0</v>
      </c>
    </row>
    <row r="710" spans="1:7">
      <c r="A710" s="309">
        <v>4</v>
      </c>
      <c r="B710" s="673" t="s">
        <v>921</v>
      </c>
      <c r="C710" s="296" t="s">
        <v>2369</v>
      </c>
      <c r="D710" s="310"/>
      <c r="E710" s="319"/>
      <c r="F710" s="319"/>
      <c r="G710" s="319">
        <f t="shared" si="28"/>
        <v>0</v>
      </c>
    </row>
    <row r="711" spans="1:7">
      <c r="A711" s="309">
        <v>5</v>
      </c>
      <c r="B711" s="673" t="s">
        <v>922</v>
      </c>
      <c r="C711" s="296" t="s">
        <v>1609</v>
      </c>
      <c r="D711" s="310"/>
      <c r="E711" s="319"/>
      <c r="F711" s="319"/>
      <c r="G711" s="319">
        <f t="shared" si="28"/>
        <v>0</v>
      </c>
    </row>
    <row r="712" spans="1:7" ht="25.5">
      <c r="A712" s="309">
        <v>6</v>
      </c>
      <c r="B712" s="673" t="s">
        <v>923</v>
      </c>
      <c r="C712" s="296" t="s">
        <v>2370</v>
      </c>
      <c r="D712" s="310"/>
      <c r="E712" s="319"/>
      <c r="F712" s="319"/>
      <c r="G712" s="319">
        <f t="shared" si="28"/>
        <v>0</v>
      </c>
    </row>
    <row r="713" spans="1:7" ht="24">
      <c r="A713" s="299">
        <v>7</v>
      </c>
      <c r="B713" s="672">
        <v>325100100100000</v>
      </c>
      <c r="C713" s="300" t="s">
        <v>2371</v>
      </c>
      <c r="D713" s="311"/>
      <c r="E713" s="322">
        <v>244348.71</v>
      </c>
      <c r="F713" s="322">
        <v>230970.54</v>
      </c>
      <c r="G713" s="322">
        <f t="shared" si="28"/>
        <v>13378.169999999984</v>
      </c>
    </row>
    <row r="714" spans="1:7" ht="24">
      <c r="A714" s="299">
        <v>7</v>
      </c>
      <c r="B714" s="672">
        <v>325100100200000</v>
      </c>
      <c r="C714" s="300" t="s">
        <v>2372</v>
      </c>
      <c r="D714" s="311"/>
      <c r="E714" s="322">
        <v>112655</v>
      </c>
      <c r="F714" s="322">
        <v>99657.37</v>
      </c>
      <c r="G714" s="322">
        <f t="shared" si="28"/>
        <v>12997.630000000005</v>
      </c>
    </row>
    <row r="715" spans="1:7" ht="24">
      <c r="A715" s="299">
        <v>7</v>
      </c>
      <c r="B715" s="672">
        <v>325100100300000</v>
      </c>
      <c r="C715" s="300" t="s">
        <v>2373</v>
      </c>
      <c r="D715" s="311"/>
      <c r="E715" s="322">
        <v>68669</v>
      </c>
      <c r="F715" s="322">
        <v>52635.75</v>
      </c>
      <c r="G715" s="322">
        <f t="shared" si="28"/>
        <v>16033.25</v>
      </c>
    </row>
    <row r="716" spans="1:7" ht="24">
      <c r="A716" s="299">
        <v>7</v>
      </c>
      <c r="B716" s="672">
        <v>325100100400000</v>
      </c>
      <c r="C716" s="300" t="s">
        <v>2374</v>
      </c>
      <c r="D716" s="311"/>
      <c r="E716" s="322"/>
      <c r="F716" s="322"/>
      <c r="G716" s="322">
        <f t="shared" si="28"/>
        <v>0</v>
      </c>
    </row>
    <row r="717" spans="1:7" ht="24">
      <c r="A717" s="299">
        <v>7</v>
      </c>
      <c r="B717" s="672">
        <v>325100100500000</v>
      </c>
      <c r="C717" s="300" t="s">
        <v>2375</v>
      </c>
      <c r="D717" s="311"/>
      <c r="E717" s="322"/>
      <c r="F717" s="322"/>
      <c r="G717" s="322">
        <f t="shared" si="28"/>
        <v>0</v>
      </c>
    </row>
    <row r="718" spans="1:7" ht="24">
      <c r="A718" s="299">
        <v>7</v>
      </c>
      <c r="B718" s="672">
        <v>325100100600000</v>
      </c>
      <c r="C718" s="300" t="s">
        <v>2376</v>
      </c>
      <c r="D718" s="311"/>
      <c r="E718" s="322"/>
      <c r="F718" s="322"/>
      <c r="G718" s="322">
        <f t="shared" si="28"/>
        <v>0</v>
      </c>
    </row>
    <row r="719" spans="1:7" ht="24">
      <c r="A719" s="299">
        <v>7</v>
      </c>
      <c r="B719" s="672">
        <v>325100100700000</v>
      </c>
      <c r="C719" s="300" t="s">
        <v>2377</v>
      </c>
      <c r="D719" s="311"/>
      <c r="E719" s="322"/>
      <c r="F719" s="322"/>
      <c r="G719" s="322">
        <f t="shared" si="28"/>
        <v>0</v>
      </c>
    </row>
    <row r="720" spans="1:7" ht="24">
      <c r="A720" s="299">
        <v>7</v>
      </c>
      <c r="B720" s="672">
        <v>325100100900000</v>
      </c>
      <c r="C720" s="300" t="s">
        <v>2378</v>
      </c>
      <c r="D720" s="311"/>
      <c r="E720" s="322">
        <v>118133.66</v>
      </c>
      <c r="F720" s="322">
        <v>106058.27</v>
      </c>
      <c r="G720" s="322">
        <f t="shared" si="28"/>
        <v>12075.39</v>
      </c>
    </row>
    <row r="721" spans="1:7" ht="25.5">
      <c r="A721" s="309">
        <v>6</v>
      </c>
      <c r="B721" s="673" t="s">
        <v>924</v>
      </c>
      <c r="C721" s="296" t="s">
        <v>2379</v>
      </c>
      <c r="D721" s="310"/>
      <c r="E721" s="319"/>
      <c r="F721" s="319"/>
      <c r="G721" s="319">
        <f t="shared" si="28"/>
        <v>0</v>
      </c>
    </row>
    <row r="722" spans="1:7" ht="24">
      <c r="A722" s="299">
        <v>7</v>
      </c>
      <c r="B722" s="672">
        <v>325100200100000</v>
      </c>
      <c r="C722" s="300" t="s">
        <v>2380</v>
      </c>
      <c r="D722" s="311"/>
      <c r="E722" s="322"/>
      <c r="F722" s="322"/>
      <c r="G722" s="322">
        <f t="shared" si="28"/>
        <v>0</v>
      </c>
    </row>
    <row r="723" spans="1:7" ht="24">
      <c r="A723" s="299">
        <v>7</v>
      </c>
      <c r="B723" s="672">
        <v>325100200200000</v>
      </c>
      <c r="C723" s="300" t="s">
        <v>2381</v>
      </c>
      <c r="D723" s="311"/>
      <c r="E723" s="322"/>
      <c r="F723" s="322"/>
      <c r="G723" s="322">
        <f t="shared" si="28"/>
        <v>0</v>
      </c>
    </row>
    <row r="724" spans="1:7" ht="24">
      <c r="A724" s="299">
        <v>7</v>
      </c>
      <c r="B724" s="672">
        <v>325100200300000</v>
      </c>
      <c r="C724" s="300" t="s">
        <v>2382</v>
      </c>
      <c r="D724" s="311"/>
      <c r="E724" s="322"/>
      <c r="F724" s="322"/>
      <c r="G724" s="322">
        <f t="shared" si="28"/>
        <v>0</v>
      </c>
    </row>
    <row r="725" spans="1:7" ht="24">
      <c r="A725" s="299">
        <v>7</v>
      </c>
      <c r="B725" s="672">
        <v>325100200400000</v>
      </c>
      <c r="C725" s="300" t="s">
        <v>2383</v>
      </c>
      <c r="D725" s="311"/>
      <c r="E725" s="322"/>
      <c r="F725" s="322"/>
      <c r="G725" s="322">
        <f t="shared" si="28"/>
        <v>0</v>
      </c>
    </row>
    <row r="726" spans="1:7" ht="24">
      <c r="A726" s="299">
        <v>7</v>
      </c>
      <c r="B726" s="672">
        <v>325100200500000</v>
      </c>
      <c r="C726" s="300" t="s">
        <v>2384</v>
      </c>
      <c r="D726" s="311"/>
      <c r="E726" s="322"/>
      <c r="F726" s="322"/>
      <c r="G726" s="322">
        <f t="shared" si="28"/>
        <v>0</v>
      </c>
    </row>
    <row r="727" spans="1:7" ht="24">
      <c r="A727" s="299">
        <v>7</v>
      </c>
      <c r="B727" s="672">
        <v>325100200600000</v>
      </c>
      <c r="C727" s="300" t="s">
        <v>2385</v>
      </c>
      <c r="D727" s="311"/>
      <c r="E727" s="322"/>
      <c r="F727" s="322"/>
      <c r="G727" s="322">
        <f t="shared" si="28"/>
        <v>0</v>
      </c>
    </row>
    <row r="728" spans="1:7" ht="24">
      <c r="A728" s="299">
        <v>7</v>
      </c>
      <c r="B728" s="672">
        <v>325100200700000</v>
      </c>
      <c r="C728" s="300" t="s">
        <v>2386</v>
      </c>
      <c r="D728" s="311"/>
      <c r="E728" s="322"/>
      <c r="F728" s="322"/>
      <c r="G728" s="322">
        <f t="shared" si="28"/>
        <v>0</v>
      </c>
    </row>
    <row r="729" spans="1:7" ht="24">
      <c r="A729" s="299">
        <v>7</v>
      </c>
      <c r="B729" s="672">
        <v>325100200900000</v>
      </c>
      <c r="C729" s="300" t="s">
        <v>2387</v>
      </c>
      <c r="D729" s="311"/>
      <c r="E729" s="322"/>
      <c r="F729" s="322"/>
      <c r="G729" s="322">
        <f t="shared" si="28"/>
        <v>0</v>
      </c>
    </row>
    <row r="730" spans="1:7" ht="25.5">
      <c r="A730" s="309">
        <v>6</v>
      </c>
      <c r="B730" s="673" t="s">
        <v>926</v>
      </c>
      <c r="C730" s="296" t="s">
        <v>1612</v>
      </c>
      <c r="D730" s="310"/>
      <c r="E730" s="319"/>
      <c r="F730" s="319"/>
      <c r="G730" s="319">
        <f t="shared" si="28"/>
        <v>0</v>
      </c>
    </row>
    <row r="731" spans="1:7">
      <c r="A731" s="299">
        <v>7</v>
      </c>
      <c r="B731" s="672">
        <v>325100300000000</v>
      </c>
      <c r="C731" s="300" t="s">
        <v>925</v>
      </c>
      <c r="D731" s="311"/>
      <c r="E731" s="322"/>
      <c r="F731" s="322"/>
      <c r="G731" s="322">
        <f t="shared" si="28"/>
        <v>0</v>
      </c>
    </row>
    <row r="732" spans="1:7">
      <c r="A732" s="309">
        <v>5</v>
      </c>
      <c r="B732" s="673" t="s">
        <v>927</v>
      </c>
      <c r="C732" s="296" t="s">
        <v>1613</v>
      </c>
      <c r="D732" s="310"/>
      <c r="E732" s="319"/>
      <c r="F732" s="319"/>
      <c r="G732" s="319">
        <f t="shared" si="28"/>
        <v>0</v>
      </c>
    </row>
    <row r="733" spans="1:7" ht="25.5">
      <c r="A733" s="309">
        <v>6</v>
      </c>
      <c r="B733" s="673" t="s">
        <v>928</v>
      </c>
      <c r="C733" s="296" t="s">
        <v>2388</v>
      </c>
      <c r="D733" s="310"/>
      <c r="E733" s="319"/>
      <c r="F733" s="319"/>
      <c r="G733" s="319">
        <f t="shared" si="28"/>
        <v>0</v>
      </c>
    </row>
    <row r="734" spans="1:7" ht="24">
      <c r="A734" s="299">
        <v>7</v>
      </c>
      <c r="B734" s="672">
        <v>325200100100000</v>
      </c>
      <c r="C734" s="300" t="s">
        <v>2389</v>
      </c>
      <c r="D734" s="311"/>
      <c r="E734" s="322"/>
      <c r="F734" s="322"/>
      <c r="G734" s="322">
        <f t="shared" si="28"/>
        <v>0</v>
      </c>
    </row>
    <row r="735" spans="1:7" ht="24">
      <c r="A735" s="303">
        <v>7</v>
      </c>
      <c r="B735" s="675">
        <v>3252001002000</v>
      </c>
      <c r="C735" s="304" t="s">
        <v>2390</v>
      </c>
      <c r="D735" s="312"/>
      <c r="E735" s="324"/>
      <c r="F735" s="324"/>
      <c r="G735" s="324">
        <f t="shared" si="28"/>
        <v>0</v>
      </c>
    </row>
    <row r="736" spans="1:7" ht="24">
      <c r="A736" s="299">
        <v>8</v>
      </c>
      <c r="B736" s="672">
        <v>325200100201000</v>
      </c>
      <c r="C736" s="300" t="s">
        <v>2391</v>
      </c>
      <c r="D736" s="311"/>
      <c r="E736" s="322"/>
      <c r="F736" s="322"/>
      <c r="G736" s="322">
        <f t="shared" si="28"/>
        <v>0</v>
      </c>
    </row>
    <row r="737" spans="1:7" ht="24">
      <c r="A737" s="299">
        <v>8</v>
      </c>
      <c r="B737" s="672">
        <v>325200100202000</v>
      </c>
      <c r="C737" s="300" t="s">
        <v>2392</v>
      </c>
      <c r="D737" s="311"/>
      <c r="E737" s="322"/>
      <c r="F737" s="322"/>
      <c r="G737" s="322">
        <f t="shared" si="28"/>
        <v>0</v>
      </c>
    </row>
    <row r="738" spans="1:7">
      <c r="A738" s="299">
        <v>8</v>
      </c>
      <c r="B738" s="672">
        <v>325200100203000</v>
      </c>
      <c r="C738" s="300" t="s">
        <v>2393</v>
      </c>
      <c r="D738" s="311"/>
      <c r="E738" s="322"/>
      <c r="F738" s="322"/>
      <c r="G738" s="322">
        <f t="shared" ref="G738:G801" si="29">E738-F738</f>
        <v>0</v>
      </c>
    </row>
    <row r="739" spans="1:7" ht="24">
      <c r="A739" s="303">
        <v>7</v>
      </c>
      <c r="B739" s="675">
        <v>3252001003000</v>
      </c>
      <c r="C739" s="304" t="s">
        <v>2318</v>
      </c>
      <c r="D739" s="312"/>
      <c r="E739" s="324"/>
      <c r="F739" s="324"/>
      <c r="G739" s="324">
        <f t="shared" si="29"/>
        <v>0</v>
      </c>
    </row>
    <row r="740" spans="1:7" ht="24">
      <c r="A740" s="299">
        <v>8</v>
      </c>
      <c r="B740" s="672">
        <v>325200100301000</v>
      </c>
      <c r="C740" s="300" t="s">
        <v>2394</v>
      </c>
      <c r="D740" s="311"/>
      <c r="E740" s="322"/>
      <c r="F740" s="322"/>
      <c r="G740" s="322">
        <f t="shared" si="29"/>
        <v>0</v>
      </c>
    </row>
    <row r="741" spans="1:7" ht="24">
      <c r="A741" s="299">
        <v>8</v>
      </c>
      <c r="B741" s="672">
        <v>325200100302000</v>
      </c>
      <c r="C741" s="300" t="s">
        <v>2395</v>
      </c>
      <c r="D741" s="311"/>
      <c r="E741" s="322"/>
      <c r="F741" s="322"/>
      <c r="G741" s="322">
        <f t="shared" si="29"/>
        <v>0</v>
      </c>
    </row>
    <row r="742" spans="1:7" ht="24">
      <c r="A742" s="299">
        <v>8</v>
      </c>
      <c r="B742" s="672">
        <v>325200100303000</v>
      </c>
      <c r="C742" s="300" t="s">
        <v>2396</v>
      </c>
      <c r="D742" s="311"/>
      <c r="E742" s="322"/>
      <c r="F742" s="322"/>
      <c r="G742" s="322">
        <f t="shared" si="29"/>
        <v>0</v>
      </c>
    </row>
    <row r="743" spans="1:7" ht="24">
      <c r="A743" s="299">
        <v>7</v>
      </c>
      <c r="B743" s="672">
        <v>325200100400000</v>
      </c>
      <c r="C743" s="300" t="s">
        <v>2397</v>
      </c>
      <c r="D743" s="311"/>
      <c r="E743" s="322"/>
      <c r="F743" s="322"/>
      <c r="G743" s="322">
        <f t="shared" si="29"/>
        <v>0</v>
      </c>
    </row>
    <row r="744" spans="1:7" ht="24">
      <c r="A744" s="299">
        <v>7</v>
      </c>
      <c r="B744" s="672">
        <v>325200100500000</v>
      </c>
      <c r="C744" s="300" t="s">
        <v>2398</v>
      </c>
      <c r="D744" s="311"/>
      <c r="E744" s="322"/>
      <c r="F744" s="322"/>
      <c r="G744" s="322">
        <f t="shared" si="29"/>
        <v>0</v>
      </c>
    </row>
    <row r="745" spans="1:7" ht="24">
      <c r="A745" s="299">
        <v>7</v>
      </c>
      <c r="B745" s="672">
        <v>325200100600000</v>
      </c>
      <c r="C745" s="300" t="s">
        <v>2399</v>
      </c>
      <c r="D745" s="311"/>
      <c r="E745" s="322"/>
      <c r="F745" s="322"/>
      <c r="G745" s="322">
        <f t="shared" si="29"/>
        <v>0</v>
      </c>
    </row>
    <row r="746" spans="1:7" ht="24">
      <c r="A746" s="299">
        <v>7</v>
      </c>
      <c r="B746" s="672">
        <v>325200100900000</v>
      </c>
      <c r="C746" s="300" t="s">
        <v>2400</v>
      </c>
      <c r="D746" s="311"/>
      <c r="E746" s="322"/>
      <c r="F746" s="322"/>
      <c r="G746" s="322">
        <f t="shared" si="29"/>
        <v>0</v>
      </c>
    </row>
    <row r="747" spans="1:7" ht="25.5">
      <c r="A747" s="309">
        <v>6</v>
      </c>
      <c r="B747" s="673" t="s">
        <v>929</v>
      </c>
      <c r="C747" s="296" t="s">
        <v>2401</v>
      </c>
      <c r="D747" s="310"/>
      <c r="E747" s="319"/>
      <c r="F747" s="319"/>
      <c r="G747" s="319">
        <f t="shared" si="29"/>
        <v>0</v>
      </c>
    </row>
    <row r="748" spans="1:7" ht="24">
      <c r="A748" s="299">
        <v>7</v>
      </c>
      <c r="B748" s="672">
        <v>325200200100000</v>
      </c>
      <c r="C748" s="300" t="s">
        <v>2402</v>
      </c>
      <c r="D748" s="311"/>
      <c r="E748" s="322"/>
      <c r="F748" s="322"/>
      <c r="G748" s="322">
        <f t="shared" si="29"/>
        <v>0</v>
      </c>
    </row>
    <row r="749" spans="1:7" ht="24">
      <c r="A749" s="303">
        <v>7</v>
      </c>
      <c r="B749" s="675">
        <v>3252002002000</v>
      </c>
      <c r="C749" s="304" t="s">
        <v>2403</v>
      </c>
      <c r="D749" s="312"/>
      <c r="E749" s="324"/>
      <c r="F749" s="324"/>
      <c r="G749" s="324">
        <f t="shared" si="29"/>
        <v>0</v>
      </c>
    </row>
    <row r="750" spans="1:7" ht="24">
      <c r="A750" s="299">
        <v>8</v>
      </c>
      <c r="B750" s="672">
        <v>325200200201000</v>
      </c>
      <c r="C750" s="300" t="s">
        <v>2404</v>
      </c>
      <c r="D750" s="311"/>
      <c r="E750" s="322"/>
      <c r="F750" s="322"/>
      <c r="G750" s="322">
        <f t="shared" si="29"/>
        <v>0</v>
      </c>
    </row>
    <row r="751" spans="1:7" ht="24">
      <c r="A751" s="299">
        <v>8</v>
      </c>
      <c r="B751" s="672">
        <v>325200200202000</v>
      </c>
      <c r="C751" s="300" t="s">
        <v>2405</v>
      </c>
      <c r="D751" s="311"/>
      <c r="E751" s="322"/>
      <c r="F751" s="322"/>
      <c r="G751" s="322">
        <f t="shared" si="29"/>
        <v>0</v>
      </c>
    </row>
    <row r="752" spans="1:7">
      <c r="A752" s="299">
        <v>8</v>
      </c>
      <c r="B752" s="672">
        <v>325200200203000</v>
      </c>
      <c r="C752" s="300" t="s">
        <v>2406</v>
      </c>
      <c r="D752" s="311"/>
      <c r="E752" s="322"/>
      <c r="F752" s="322"/>
      <c r="G752" s="322">
        <f t="shared" si="29"/>
        <v>0</v>
      </c>
    </row>
    <row r="753" spans="1:7" ht="24">
      <c r="A753" s="303">
        <v>7</v>
      </c>
      <c r="B753" s="675">
        <v>3252002003000</v>
      </c>
      <c r="C753" s="304" t="s">
        <v>2333</v>
      </c>
      <c r="D753" s="312"/>
      <c r="E753" s="324"/>
      <c r="F753" s="324"/>
      <c r="G753" s="324">
        <f t="shared" si="29"/>
        <v>0</v>
      </c>
    </row>
    <row r="754" spans="1:7" ht="24">
      <c r="A754" s="299">
        <v>8</v>
      </c>
      <c r="B754" s="672">
        <v>325200200301000</v>
      </c>
      <c r="C754" s="300" t="s">
        <v>2407</v>
      </c>
      <c r="D754" s="311"/>
      <c r="E754" s="322"/>
      <c r="F754" s="322"/>
      <c r="G754" s="322">
        <f t="shared" si="29"/>
        <v>0</v>
      </c>
    </row>
    <row r="755" spans="1:7" ht="24">
      <c r="A755" s="299">
        <v>8</v>
      </c>
      <c r="B755" s="672">
        <v>325200200302000</v>
      </c>
      <c r="C755" s="300" t="s">
        <v>2408</v>
      </c>
      <c r="D755" s="311"/>
      <c r="E755" s="322"/>
      <c r="F755" s="322"/>
      <c r="G755" s="322">
        <f t="shared" si="29"/>
        <v>0</v>
      </c>
    </row>
    <row r="756" spans="1:7" ht="24">
      <c r="A756" s="299">
        <v>8</v>
      </c>
      <c r="B756" s="672">
        <v>325200200303000</v>
      </c>
      <c r="C756" s="300" t="s">
        <v>2409</v>
      </c>
      <c r="D756" s="311"/>
      <c r="E756" s="322"/>
      <c r="F756" s="322"/>
      <c r="G756" s="322">
        <f t="shared" si="29"/>
        <v>0</v>
      </c>
    </row>
    <row r="757" spans="1:7" ht="24">
      <c r="A757" s="299">
        <v>7</v>
      </c>
      <c r="B757" s="672">
        <v>325200200400000</v>
      </c>
      <c r="C757" s="300" t="s">
        <v>2410</v>
      </c>
      <c r="D757" s="311"/>
      <c r="E757" s="322"/>
      <c r="F757" s="322"/>
      <c r="G757" s="322">
        <f t="shared" si="29"/>
        <v>0</v>
      </c>
    </row>
    <row r="758" spans="1:7" ht="24">
      <c r="A758" s="299">
        <v>7</v>
      </c>
      <c r="B758" s="672">
        <v>325200200500000</v>
      </c>
      <c r="C758" s="300" t="s">
        <v>2411</v>
      </c>
      <c r="D758" s="311"/>
      <c r="E758" s="322"/>
      <c r="F758" s="322"/>
      <c r="G758" s="322">
        <f t="shared" si="29"/>
        <v>0</v>
      </c>
    </row>
    <row r="759" spans="1:7" ht="24">
      <c r="A759" s="299">
        <v>7</v>
      </c>
      <c r="B759" s="672">
        <v>325200200600000</v>
      </c>
      <c r="C759" s="300" t="s">
        <v>2412</v>
      </c>
      <c r="D759" s="311"/>
      <c r="E759" s="322"/>
      <c r="F759" s="322"/>
      <c r="G759" s="322">
        <f t="shared" si="29"/>
        <v>0</v>
      </c>
    </row>
    <row r="760" spans="1:7" ht="24">
      <c r="A760" s="299">
        <v>7</v>
      </c>
      <c r="B760" s="672">
        <v>325200200900000</v>
      </c>
      <c r="C760" s="300" t="s">
        <v>2413</v>
      </c>
      <c r="D760" s="311"/>
      <c r="E760" s="322"/>
      <c r="F760" s="322"/>
      <c r="G760" s="322">
        <f t="shared" si="29"/>
        <v>0</v>
      </c>
    </row>
    <row r="761" spans="1:7" ht="25.5">
      <c r="A761" s="309">
        <v>6</v>
      </c>
      <c r="B761" s="673" t="s">
        <v>931</v>
      </c>
      <c r="C761" s="296" t="s">
        <v>1616</v>
      </c>
      <c r="D761" s="310"/>
      <c r="E761" s="319"/>
      <c r="F761" s="319"/>
      <c r="G761" s="319">
        <f t="shared" si="29"/>
        <v>0</v>
      </c>
    </row>
    <row r="762" spans="1:7">
      <c r="A762" s="299">
        <v>7</v>
      </c>
      <c r="B762" s="672">
        <v>325200300000000</v>
      </c>
      <c r="C762" s="300" t="s">
        <v>930</v>
      </c>
      <c r="D762" s="311"/>
      <c r="E762" s="322"/>
      <c r="F762" s="322"/>
      <c r="G762" s="322">
        <f t="shared" si="29"/>
        <v>0</v>
      </c>
    </row>
    <row r="763" spans="1:7">
      <c r="A763" s="309">
        <v>4</v>
      </c>
      <c r="B763" s="673" t="s">
        <v>932</v>
      </c>
      <c r="C763" s="296" t="s">
        <v>2414</v>
      </c>
      <c r="D763" s="310"/>
      <c r="E763" s="319"/>
      <c r="F763" s="319"/>
      <c r="G763" s="319">
        <f t="shared" si="29"/>
        <v>0</v>
      </c>
    </row>
    <row r="764" spans="1:7">
      <c r="A764" s="309">
        <v>5</v>
      </c>
      <c r="B764" s="673" t="s">
        <v>933</v>
      </c>
      <c r="C764" s="296" t="s">
        <v>1618</v>
      </c>
      <c r="D764" s="310"/>
      <c r="E764" s="319"/>
      <c r="F764" s="319"/>
      <c r="G764" s="319">
        <f t="shared" si="29"/>
        <v>0</v>
      </c>
    </row>
    <row r="765" spans="1:7" ht="25.5">
      <c r="A765" s="309">
        <v>6</v>
      </c>
      <c r="B765" s="673" t="s">
        <v>934</v>
      </c>
      <c r="C765" s="296" t="s">
        <v>1619</v>
      </c>
      <c r="D765" s="310"/>
      <c r="E765" s="319"/>
      <c r="F765" s="319"/>
      <c r="G765" s="319">
        <f t="shared" si="29"/>
        <v>0</v>
      </c>
    </row>
    <row r="766" spans="1:7" ht="24">
      <c r="A766" s="299">
        <v>7</v>
      </c>
      <c r="B766" s="672">
        <v>330100100100000</v>
      </c>
      <c r="C766" s="300" t="s">
        <v>2415</v>
      </c>
      <c r="D766" s="311"/>
      <c r="E766" s="322">
        <v>135353.84</v>
      </c>
      <c r="F766" s="322">
        <v>109623.76</v>
      </c>
      <c r="G766" s="322">
        <f t="shared" si="29"/>
        <v>25730.080000000002</v>
      </c>
    </row>
    <row r="767" spans="1:7" ht="24">
      <c r="A767" s="299">
        <v>7</v>
      </c>
      <c r="B767" s="672">
        <v>330100100200000</v>
      </c>
      <c r="C767" s="300" t="s">
        <v>2416</v>
      </c>
      <c r="D767" s="311"/>
      <c r="E767" s="322">
        <v>58580</v>
      </c>
      <c r="F767" s="322">
        <v>49042.73</v>
      </c>
      <c r="G767" s="322">
        <f t="shared" si="29"/>
        <v>9537.2699999999968</v>
      </c>
    </row>
    <row r="768" spans="1:7" ht="24">
      <c r="A768" s="299">
        <v>7</v>
      </c>
      <c r="B768" s="672">
        <v>330100100300000</v>
      </c>
      <c r="C768" s="300" t="s">
        <v>2417</v>
      </c>
      <c r="D768" s="311"/>
      <c r="E768" s="322">
        <v>35708</v>
      </c>
      <c r="F768" s="322">
        <v>24081.45</v>
      </c>
      <c r="G768" s="322">
        <f t="shared" si="29"/>
        <v>11626.55</v>
      </c>
    </row>
    <row r="769" spans="1:7" ht="24">
      <c r="A769" s="299">
        <v>7</v>
      </c>
      <c r="B769" s="672">
        <v>330100100400000</v>
      </c>
      <c r="C769" s="300" t="s">
        <v>2418</v>
      </c>
      <c r="D769" s="311"/>
      <c r="E769" s="322"/>
      <c r="F769" s="322"/>
      <c r="G769" s="322">
        <f t="shared" si="29"/>
        <v>0</v>
      </c>
    </row>
    <row r="770" spans="1:7" ht="24">
      <c r="A770" s="299">
        <v>7</v>
      </c>
      <c r="B770" s="672">
        <v>330100100500000</v>
      </c>
      <c r="C770" s="300" t="s">
        <v>2419</v>
      </c>
      <c r="D770" s="311"/>
      <c r="E770" s="322"/>
      <c r="F770" s="322"/>
      <c r="G770" s="322">
        <f t="shared" si="29"/>
        <v>0</v>
      </c>
    </row>
    <row r="771" spans="1:7" ht="24">
      <c r="A771" s="299">
        <v>7</v>
      </c>
      <c r="B771" s="672">
        <v>330100100600000</v>
      </c>
      <c r="C771" s="300" t="s">
        <v>2420</v>
      </c>
      <c r="D771" s="311"/>
      <c r="E771" s="322"/>
      <c r="F771" s="322"/>
      <c r="G771" s="322">
        <f t="shared" si="29"/>
        <v>0</v>
      </c>
    </row>
    <row r="772" spans="1:7" ht="24">
      <c r="A772" s="299">
        <v>7</v>
      </c>
      <c r="B772" s="672">
        <v>330100100700000</v>
      </c>
      <c r="C772" s="300" t="s">
        <v>2421</v>
      </c>
      <c r="D772" s="311"/>
      <c r="E772" s="322"/>
      <c r="F772" s="322"/>
      <c r="G772" s="322">
        <f t="shared" si="29"/>
        <v>0</v>
      </c>
    </row>
    <row r="773" spans="1:7" ht="24">
      <c r="A773" s="299">
        <v>7</v>
      </c>
      <c r="B773" s="672">
        <v>330100100900000</v>
      </c>
      <c r="C773" s="300" t="s">
        <v>2422</v>
      </c>
      <c r="D773" s="311"/>
      <c r="E773" s="322">
        <v>66413.820000000007</v>
      </c>
      <c r="F773" s="322">
        <v>52543.26</v>
      </c>
      <c r="G773" s="322">
        <f t="shared" si="29"/>
        <v>13870.560000000005</v>
      </c>
    </row>
    <row r="774" spans="1:7" ht="25.5">
      <c r="A774" s="309">
        <v>6</v>
      </c>
      <c r="B774" s="673" t="s">
        <v>935</v>
      </c>
      <c r="C774" s="296" t="s">
        <v>1620</v>
      </c>
      <c r="D774" s="310"/>
      <c r="E774" s="319"/>
      <c r="F774" s="319"/>
      <c r="G774" s="319">
        <f t="shared" si="29"/>
        <v>0</v>
      </c>
    </row>
    <row r="775" spans="1:7" ht="24">
      <c r="A775" s="299">
        <v>7</v>
      </c>
      <c r="B775" s="672">
        <v>330100200100000</v>
      </c>
      <c r="C775" s="300" t="s">
        <v>2423</v>
      </c>
      <c r="D775" s="311"/>
      <c r="E775" s="322"/>
      <c r="F775" s="322">
        <v>23959.279999999999</v>
      </c>
      <c r="G775" s="322">
        <f t="shared" si="29"/>
        <v>-23959.279999999999</v>
      </c>
    </row>
    <row r="776" spans="1:7" ht="24">
      <c r="A776" s="299">
        <v>7</v>
      </c>
      <c r="B776" s="672">
        <v>330100200200000</v>
      </c>
      <c r="C776" s="300" t="s">
        <v>2424</v>
      </c>
      <c r="D776" s="311"/>
      <c r="E776" s="322"/>
      <c r="F776" s="322">
        <v>2951.7</v>
      </c>
      <c r="G776" s="322">
        <f t="shared" si="29"/>
        <v>-2951.7</v>
      </c>
    </row>
    <row r="777" spans="1:7" ht="24">
      <c r="A777" s="299">
        <v>7</v>
      </c>
      <c r="B777" s="672">
        <v>330100200300000</v>
      </c>
      <c r="C777" s="300" t="s">
        <v>2425</v>
      </c>
      <c r="D777" s="311"/>
      <c r="E777" s="322"/>
      <c r="F777" s="322">
        <v>7500</v>
      </c>
      <c r="G777" s="322">
        <f t="shared" si="29"/>
        <v>-7500</v>
      </c>
    </row>
    <row r="778" spans="1:7" ht="24">
      <c r="A778" s="299">
        <v>7</v>
      </c>
      <c r="B778" s="672">
        <v>330100200400000</v>
      </c>
      <c r="C778" s="300" t="s">
        <v>2426</v>
      </c>
      <c r="D778" s="311"/>
      <c r="E778" s="322"/>
      <c r="F778" s="322"/>
      <c r="G778" s="322">
        <f t="shared" si="29"/>
        <v>0</v>
      </c>
    </row>
    <row r="779" spans="1:7" ht="24">
      <c r="A779" s="299">
        <v>7</v>
      </c>
      <c r="B779" s="672">
        <v>330100200500000</v>
      </c>
      <c r="C779" s="300" t="s">
        <v>2427</v>
      </c>
      <c r="D779" s="311"/>
      <c r="E779" s="322"/>
      <c r="F779" s="322"/>
      <c r="G779" s="322">
        <f t="shared" si="29"/>
        <v>0</v>
      </c>
    </row>
    <row r="780" spans="1:7" ht="24">
      <c r="A780" s="299">
        <v>7</v>
      </c>
      <c r="B780" s="672">
        <v>330100200600000</v>
      </c>
      <c r="C780" s="300" t="s">
        <v>2428</v>
      </c>
      <c r="D780" s="311"/>
      <c r="E780" s="322"/>
      <c r="F780" s="322"/>
      <c r="G780" s="322">
        <f t="shared" si="29"/>
        <v>0</v>
      </c>
    </row>
    <row r="781" spans="1:7" ht="24">
      <c r="A781" s="299">
        <v>7</v>
      </c>
      <c r="B781" s="672">
        <v>330100200700000</v>
      </c>
      <c r="C781" s="300" t="s">
        <v>2429</v>
      </c>
      <c r="D781" s="311"/>
      <c r="E781" s="322"/>
      <c r="F781" s="322"/>
      <c r="G781" s="322">
        <f t="shared" si="29"/>
        <v>0</v>
      </c>
    </row>
    <row r="782" spans="1:7" ht="24">
      <c r="A782" s="299">
        <v>7</v>
      </c>
      <c r="B782" s="672">
        <v>330100200900000</v>
      </c>
      <c r="C782" s="300" t="s">
        <v>2430</v>
      </c>
      <c r="D782" s="311"/>
      <c r="E782" s="322"/>
      <c r="F782" s="322">
        <v>10230.459999999999</v>
      </c>
      <c r="G782" s="322">
        <f t="shared" si="29"/>
        <v>-10230.459999999999</v>
      </c>
    </row>
    <row r="783" spans="1:7">
      <c r="A783" s="309">
        <v>6</v>
      </c>
      <c r="B783" s="673" t="s">
        <v>937</v>
      </c>
      <c r="C783" s="296" t="s">
        <v>1621</v>
      </c>
      <c r="D783" s="310"/>
      <c r="E783" s="319"/>
      <c r="F783" s="319"/>
      <c r="G783" s="319">
        <f t="shared" si="29"/>
        <v>0</v>
      </c>
    </row>
    <row r="784" spans="1:7">
      <c r="A784" s="299">
        <v>7</v>
      </c>
      <c r="B784" s="672">
        <v>330100300000000</v>
      </c>
      <c r="C784" s="300" t="s">
        <v>936</v>
      </c>
      <c r="D784" s="311"/>
      <c r="E784" s="322"/>
      <c r="F784" s="322"/>
      <c r="G784" s="322">
        <f t="shared" si="29"/>
        <v>0</v>
      </c>
    </row>
    <row r="785" spans="1:7">
      <c r="A785" s="309">
        <v>5</v>
      </c>
      <c r="B785" s="673" t="s">
        <v>938</v>
      </c>
      <c r="C785" s="296" t="s">
        <v>1622</v>
      </c>
      <c r="D785" s="310"/>
      <c r="E785" s="319"/>
      <c r="F785" s="319"/>
      <c r="G785" s="319">
        <f t="shared" si="29"/>
        <v>0</v>
      </c>
    </row>
    <row r="786" spans="1:7" ht="25.5">
      <c r="A786" s="309">
        <v>6</v>
      </c>
      <c r="B786" s="673" t="s">
        <v>939</v>
      </c>
      <c r="C786" s="296" t="s">
        <v>1623</v>
      </c>
      <c r="D786" s="310"/>
      <c r="E786" s="319"/>
      <c r="F786" s="319"/>
      <c r="G786" s="319">
        <f t="shared" si="29"/>
        <v>0</v>
      </c>
    </row>
    <row r="787" spans="1:7" ht="24">
      <c r="A787" s="303">
        <v>7</v>
      </c>
      <c r="B787" s="675">
        <v>330200100</v>
      </c>
      <c r="C787" s="304" t="s">
        <v>2431</v>
      </c>
      <c r="D787" s="313"/>
      <c r="E787" s="325"/>
      <c r="F787" s="325"/>
      <c r="G787" s="325">
        <f t="shared" si="29"/>
        <v>0</v>
      </c>
    </row>
    <row r="788" spans="1:7" ht="24">
      <c r="A788" s="299">
        <v>8</v>
      </c>
      <c r="B788" s="672">
        <v>330200100100000</v>
      </c>
      <c r="C788" s="300" t="s">
        <v>2432</v>
      </c>
      <c r="D788" s="311"/>
      <c r="E788" s="322">
        <v>267144.83</v>
      </c>
      <c r="F788" s="322">
        <v>235631.51</v>
      </c>
      <c r="G788" s="322">
        <f t="shared" si="29"/>
        <v>31513.320000000007</v>
      </c>
    </row>
    <row r="789" spans="1:7" ht="24">
      <c r="A789" s="303">
        <v>8</v>
      </c>
      <c r="B789" s="675">
        <v>3302001002000</v>
      </c>
      <c r="C789" s="304" t="s">
        <v>2433</v>
      </c>
      <c r="D789" s="313"/>
      <c r="E789" s="325"/>
      <c r="F789" s="325"/>
      <c r="G789" s="325">
        <f t="shared" si="29"/>
        <v>0</v>
      </c>
    </row>
    <row r="790" spans="1:7" ht="24">
      <c r="A790" s="299">
        <v>9</v>
      </c>
      <c r="B790" s="672">
        <v>330200100201000</v>
      </c>
      <c r="C790" s="300" t="s">
        <v>2434</v>
      </c>
      <c r="D790" s="311"/>
      <c r="E790" s="322">
        <v>2063</v>
      </c>
      <c r="F790" s="322">
        <v>3554.13</v>
      </c>
      <c r="G790" s="322">
        <f t="shared" si="29"/>
        <v>-1491.13</v>
      </c>
    </row>
    <row r="791" spans="1:7">
      <c r="A791" s="299">
        <v>9</v>
      </c>
      <c r="B791" s="672">
        <v>330200100202000</v>
      </c>
      <c r="C791" s="300" t="s">
        <v>2435</v>
      </c>
      <c r="D791" s="311"/>
      <c r="E791" s="322"/>
      <c r="F791" s="322"/>
      <c r="G791" s="322">
        <f t="shared" si="29"/>
        <v>0</v>
      </c>
    </row>
    <row r="792" spans="1:7">
      <c r="A792" s="299">
        <v>9</v>
      </c>
      <c r="B792" s="672">
        <v>330200100203000</v>
      </c>
      <c r="C792" s="300" t="s">
        <v>2436</v>
      </c>
      <c r="D792" s="311"/>
      <c r="E792" s="322">
        <v>36521.300000000003</v>
      </c>
      <c r="F792" s="322">
        <v>48023.519999999997</v>
      </c>
      <c r="G792" s="322">
        <f t="shared" si="29"/>
        <v>-11502.219999999994</v>
      </c>
    </row>
    <row r="793" spans="1:7" ht="24">
      <c r="A793" s="303">
        <v>8</v>
      </c>
      <c r="B793" s="675">
        <v>3302001003000</v>
      </c>
      <c r="C793" s="304" t="s">
        <v>2437</v>
      </c>
      <c r="D793" s="313"/>
      <c r="E793" s="325"/>
      <c r="F793" s="325"/>
      <c r="G793" s="325">
        <f t="shared" si="29"/>
        <v>0</v>
      </c>
    </row>
    <row r="794" spans="1:7">
      <c r="A794" s="299">
        <v>9</v>
      </c>
      <c r="B794" s="672">
        <v>330200100301000</v>
      </c>
      <c r="C794" s="300" t="s">
        <v>2438</v>
      </c>
      <c r="D794" s="311"/>
      <c r="E794" s="322">
        <v>6902.91</v>
      </c>
      <c r="F794" s="322"/>
      <c r="G794" s="322">
        <f t="shared" si="29"/>
        <v>6902.91</v>
      </c>
    </row>
    <row r="795" spans="1:7" ht="24">
      <c r="A795" s="299">
        <v>9</v>
      </c>
      <c r="B795" s="672">
        <v>330200100302000</v>
      </c>
      <c r="C795" s="300" t="s">
        <v>2439</v>
      </c>
      <c r="D795" s="311"/>
      <c r="E795" s="322">
        <v>1284.1199999999999</v>
      </c>
      <c r="F795" s="322"/>
      <c r="G795" s="322">
        <f t="shared" si="29"/>
        <v>1284.1199999999999</v>
      </c>
    </row>
    <row r="796" spans="1:7" ht="24">
      <c r="A796" s="299">
        <v>9</v>
      </c>
      <c r="B796" s="672">
        <v>330200100303000</v>
      </c>
      <c r="C796" s="300" t="s">
        <v>2440</v>
      </c>
      <c r="D796" s="311"/>
      <c r="E796" s="322">
        <v>4181.8599999999997</v>
      </c>
      <c r="F796" s="322">
        <v>27675.97</v>
      </c>
      <c r="G796" s="322">
        <f t="shared" si="29"/>
        <v>-23494.11</v>
      </c>
    </row>
    <row r="797" spans="1:7" ht="24">
      <c r="A797" s="299">
        <v>8</v>
      </c>
      <c r="B797" s="672">
        <v>330200100400000</v>
      </c>
      <c r="C797" s="300" t="s">
        <v>2441</v>
      </c>
      <c r="D797" s="311"/>
      <c r="E797" s="322"/>
      <c r="F797" s="322"/>
      <c r="G797" s="322">
        <f t="shared" si="29"/>
        <v>0</v>
      </c>
    </row>
    <row r="798" spans="1:7" ht="24">
      <c r="A798" s="299">
        <v>8</v>
      </c>
      <c r="B798" s="672">
        <v>330200100500000</v>
      </c>
      <c r="C798" s="300" t="s">
        <v>2442</v>
      </c>
      <c r="D798" s="311"/>
      <c r="E798" s="322"/>
      <c r="F798" s="322"/>
      <c r="G798" s="322">
        <f t="shared" si="29"/>
        <v>0</v>
      </c>
    </row>
    <row r="799" spans="1:7" ht="24">
      <c r="A799" s="299">
        <v>8</v>
      </c>
      <c r="B799" s="672">
        <v>330200100600000</v>
      </c>
      <c r="C799" s="300" t="s">
        <v>2443</v>
      </c>
      <c r="D799" s="311"/>
      <c r="E799" s="322">
        <v>1708.74</v>
      </c>
      <c r="F799" s="322"/>
      <c r="G799" s="322">
        <f t="shared" si="29"/>
        <v>1708.74</v>
      </c>
    </row>
    <row r="800" spans="1:7" ht="24">
      <c r="A800" s="299">
        <v>8</v>
      </c>
      <c r="B800" s="672">
        <v>330200100900000</v>
      </c>
      <c r="C800" s="300" t="s">
        <v>2444</v>
      </c>
      <c r="D800" s="311"/>
      <c r="E800" s="322">
        <v>96008.35</v>
      </c>
      <c r="F800" s="322">
        <v>89845.23</v>
      </c>
      <c r="G800" s="322">
        <f t="shared" si="29"/>
        <v>6163.1200000000099</v>
      </c>
    </row>
    <row r="801" spans="1:7" ht="24">
      <c r="A801" s="303">
        <v>7</v>
      </c>
      <c r="B801" s="675">
        <v>3302001010000</v>
      </c>
      <c r="C801" s="304" t="s">
        <v>2445</v>
      </c>
      <c r="D801" s="313"/>
      <c r="E801" s="325"/>
      <c r="F801" s="325"/>
      <c r="G801" s="325">
        <f t="shared" si="29"/>
        <v>0</v>
      </c>
    </row>
    <row r="802" spans="1:7" ht="24">
      <c r="A802" s="299">
        <v>8</v>
      </c>
      <c r="B802" s="672">
        <v>330200101100000</v>
      </c>
      <c r="C802" s="300" t="s">
        <v>2446</v>
      </c>
      <c r="D802" s="311"/>
      <c r="E802" s="322">
        <v>22192.51</v>
      </c>
      <c r="F802" s="322"/>
      <c r="G802" s="322">
        <f t="shared" ref="G802:G865" si="30">E802-F802</f>
        <v>22192.51</v>
      </c>
    </row>
    <row r="803" spans="1:7" ht="24">
      <c r="A803" s="303">
        <v>8</v>
      </c>
      <c r="B803" s="675">
        <v>3302001012000</v>
      </c>
      <c r="C803" s="304" t="s">
        <v>2447</v>
      </c>
      <c r="D803" s="313"/>
      <c r="E803" s="325"/>
      <c r="F803" s="325"/>
      <c r="G803" s="325">
        <f t="shared" si="30"/>
        <v>0</v>
      </c>
    </row>
    <row r="804" spans="1:7" ht="24">
      <c r="A804" s="299">
        <v>9</v>
      </c>
      <c r="B804" s="672">
        <v>330200101201000</v>
      </c>
      <c r="C804" s="300" t="s">
        <v>2448</v>
      </c>
      <c r="D804" s="311"/>
      <c r="E804" s="322"/>
      <c r="F804" s="322"/>
      <c r="G804" s="322">
        <f t="shared" si="30"/>
        <v>0</v>
      </c>
    </row>
    <row r="805" spans="1:7" ht="24">
      <c r="A805" s="299">
        <v>9</v>
      </c>
      <c r="B805" s="672">
        <v>330200101202000</v>
      </c>
      <c r="C805" s="300" t="s">
        <v>2449</v>
      </c>
      <c r="D805" s="311"/>
      <c r="E805" s="322"/>
      <c r="F805" s="322"/>
      <c r="G805" s="322">
        <f t="shared" si="30"/>
        <v>0</v>
      </c>
    </row>
    <row r="806" spans="1:7">
      <c r="A806" s="299">
        <v>9</v>
      </c>
      <c r="B806" s="672">
        <v>330200101203000</v>
      </c>
      <c r="C806" s="300" t="s">
        <v>2450</v>
      </c>
      <c r="D806" s="311"/>
      <c r="E806" s="322">
        <v>1817.39</v>
      </c>
      <c r="F806" s="322"/>
      <c r="G806" s="322">
        <f t="shared" si="30"/>
        <v>1817.39</v>
      </c>
    </row>
    <row r="807" spans="1:7" ht="24">
      <c r="A807" s="303">
        <v>8</v>
      </c>
      <c r="B807" s="675">
        <v>3302001013000</v>
      </c>
      <c r="C807" s="304" t="s">
        <v>2451</v>
      </c>
      <c r="D807" s="313"/>
      <c r="E807" s="325"/>
      <c r="F807" s="325"/>
      <c r="G807" s="325">
        <f t="shared" si="30"/>
        <v>0</v>
      </c>
    </row>
    <row r="808" spans="1:7" ht="24">
      <c r="A808" s="299">
        <v>9</v>
      </c>
      <c r="B808" s="672">
        <v>330200101301000</v>
      </c>
      <c r="C808" s="300" t="s">
        <v>2452</v>
      </c>
      <c r="D808" s="311"/>
      <c r="E808" s="322"/>
      <c r="F808" s="322"/>
      <c r="G808" s="322">
        <f t="shared" si="30"/>
        <v>0</v>
      </c>
    </row>
    <row r="809" spans="1:7" ht="24">
      <c r="A809" s="299">
        <v>9</v>
      </c>
      <c r="B809" s="672">
        <v>330200101302000</v>
      </c>
      <c r="C809" s="300" t="s">
        <v>2453</v>
      </c>
      <c r="D809" s="311"/>
      <c r="E809" s="322"/>
      <c r="F809" s="322"/>
      <c r="G809" s="322">
        <f t="shared" si="30"/>
        <v>0</v>
      </c>
    </row>
    <row r="810" spans="1:7" ht="24">
      <c r="A810" s="299">
        <v>9</v>
      </c>
      <c r="B810" s="672">
        <v>330200101303000</v>
      </c>
      <c r="C810" s="300" t="s">
        <v>2454</v>
      </c>
      <c r="D810" s="311"/>
      <c r="E810" s="322">
        <v>114.6</v>
      </c>
      <c r="F810" s="322"/>
      <c r="G810" s="322">
        <f t="shared" si="30"/>
        <v>114.6</v>
      </c>
    </row>
    <row r="811" spans="1:7" ht="24">
      <c r="A811" s="299">
        <v>8</v>
      </c>
      <c r="B811" s="672">
        <v>330200101400000</v>
      </c>
      <c r="C811" s="300" t="s">
        <v>2455</v>
      </c>
      <c r="D811" s="311"/>
      <c r="E811" s="322"/>
      <c r="F811" s="322"/>
      <c r="G811" s="322">
        <f t="shared" si="30"/>
        <v>0</v>
      </c>
    </row>
    <row r="812" spans="1:7" ht="24">
      <c r="A812" s="299">
        <v>8</v>
      </c>
      <c r="B812" s="672">
        <v>330200101500000</v>
      </c>
      <c r="C812" s="300" t="s">
        <v>2456</v>
      </c>
      <c r="D812" s="311"/>
      <c r="E812" s="322"/>
      <c r="F812" s="322"/>
      <c r="G812" s="322">
        <f t="shared" si="30"/>
        <v>0</v>
      </c>
    </row>
    <row r="813" spans="1:7" ht="24">
      <c r="A813" s="299">
        <v>8</v>
      </c>
      <c r="B813" s="672">
        <v>330200101600000</v>
      </c>
      <c r="C813" s="300" t="s">
        <v>2457</v>
      </c>
      <c r="D813" s="311"/>
      <c r="E813" s="322"/>
      <c r="F813" s="322"/>
      <c r="G813" s="322">
        <f t="shared" si="30"/>
        <v>0</v>
      </c>
    </row>
    <row r="814" spans="1:7" ht="24">
      <c r="A814" s="299">
        <v>8</v>
      </c>
      <c r="B814" s="672">
        <v>330200101900000</v>
      </c>
      <c r="C814" s="300" t="s">
        <v>2458</v>
      </c>
      <c r="D814" s="311"/>
      <c r="E814" s="322">
        <v>6626.88</v>
      </c>
      <c r="F814" s="322"/>
      <c r="G814" s="322">
        <f t="shared" si="30"/>
        <v>6626.88</v>
      </c>
    </row>
    <row r="815" spans="1:7" ht="25.5">
      <c r="A815" s="309">
        <v>6</v>
      </c>
      <c r="B815" s="673" t="s">
        <v>940</v>
      </c>
      <c r="C815" s="296" t="s">
        <v>1624</v>
      </c>
      <c r="D815" s="310"/>
      <c r="E815" s="319"/>
      <c r="F815" s="319"/>
      <c r="G815" s="319">
        <f t="shared" si="30"/>
        <v>0</v>
      </c>
    </row>
    <row r="816" spans="1:7" ht="24">
      <c r="A816" s="303">
        <v>7</v>
      </c>
      <c r="B816" s="675">
        <v>3302002000000</v>
      </c>
      <c r="C816" s="304" t="s">
        <v>2459</v>
      </c>
      <c r="D816" s="313"/>
      <c r="E816" s="325"/>
      <c r="F816" s="325"/>
      <c r="G816" s="325">
        <f t="shared" si="30"/>
        <v>0</v>
      </c>
    </row>
    <row r="817" spans="1:7" ht="24">
      <c r="A817" s="299">
        <v>8</v>
      </c>
      <c r="B817" s="672">
        <v>330200200100000</v>
      </c>
      <c r="C817" s="300" t="s">
        <v>2460</v>
      </c>
      <c r="D817" s="311"/>
      <c r="E817" s="322"/>
      <c r="F817" s="322"/>
      <c r="G817" s="322">
        <f t="shared" si="30"/>
        <v>0</v>
      </c>
    </row>
    <row r="818" spans="1:7" ht="24">
      <c r="A818" s="303">
        <v>8</v>
      </c>
      <c r="B818" s="675">
        <v>3302002002000</v>
      </c>
      <c r="C818" s="304" t="s">
        <v>2461</v>
      </c>
      <c r="D818" s="313"/>
      <c r="E818" s="325"/>
      <c r="F818" s="325"/>
      <c r="G818" s="325">
        <f t="shared" si="30"/>
        <v>0</v>
      </c>
    </row>
    <row r="819" spans="1:7" ht="24">
      <c r="A819" s="299">
        <v>9</v>
      </c>
      <c r="B819" s="672">
        <v>330200200201000</v>
      </c>
      <c r="C819" s="300" t="s">
        <v>2462</v>
      </c>
      <c r="D819" s="311"/>
      <c r="E819" s="322"/>
      <c r="F819" s="322"/>
      <c r="G819" s="322">
        <f t="shared" si="30"/>
        <v>0</v>
      </c>
    </row>
    <row r="820" spans="1:7">
      <c r="A820" s="299">
        <v>9</v>
      </c>
      <c r="B820" s="672">
        <v>330200200202000</v>
      </c>
      <c r="C820" s="300" t="s">
        <v>2463</v>
      </c>
      <c r="D820" s="311"/>
      <c r="E820" s="322"/>
      <c r="F820" s="322"/>
      <c r="G820" s="322">
        <f t="shared" si="30"/>
        <v>0</v>
      </c>
    </row>
    <row r="821" spans="1:7">
      <c r="A821" s="299">
        <v>9</v>
      </c>
      <c r="B821" s="672">
        <v>330200200203000</v>
      </c>
      <c r="C821" s="300" t="s">
        <v>2464</v>
      </c>
      <c r="D821" s="311"/>
      <c r="E821" s="322"/>
      <c r="F821" s="322"/>
      <c r="G821" s="322">
        <f t="shared" si="30"/>
        <v>0</v>
      </c>
    </row>
    <row r="822" spans="1:7" ht="24">
      <c r="A822" s="303">
        <v>8</v>
      </c>
      <c r="B822" s="675">
        <v>3302002003000</v>
      </c>
      <c r="C822" s="304" t="s">
        <v>2465</v>
      </c>
      <c r="D822" s="313"/>
      <c r="E822" s="325"/>
      <c r="F822" s="325"/>
      <c r="G822" s="325">
        <f t="shared" si="30"/>
        <v>0</v>
      </c>
    </row>
    <row r="823" spans="1:7">
      <c r="A823" s="299">
        <v>9</v>
      </c>
      <c r="B823" s="672">
        <v>330200200301000</v>
      </c>
      <c r="C823" s="300" t="s">
        <v>2466</v>
      </c>
      <c r="D823" s="311"/>
      <c r="E823" s="322"/>
      <c r="F823" s="322"/>
      <c r="G823" s="322">
        <f t="shared" si="30"/>
        <v>0</v>
      </c>
    </row>
    <row r="824" spans="1:7" ht="24">
      <c r="A824" s="299">
        <v>9</v>
      </c>
      <c r="B824" s="672">
        <v>330200200302000</v>
      </c>
      <c r="C824" s="300" t="s">
        <v>2467</v>
      </c>
      <c r="D824" s="311"/>
      <c r="E824" s="322"/>
      <c r="F824" s="322"/>
      <c r="G824" s="322">
        <f t="shared" si="30"/>
        <v>0</v>
      </c>
    </row>
    <row r="825" spans="1:7" ht="24">
      <c r="A825" s="299">
        <v>9</v>
      </c>
      <c r="B825" s="672">
        <v>330200200303000</v>
      </c>
      <c r="C825" s="300" t="s">
        <v>2468</v>
      </c>
      <c r="D825" s="311"/>
      <c r="E825" s="322"/>
      <c r="F825" s="322"/>
      <c r="G825" s="322">
        <f t="shared" si="30"/>
        <v>0</v>
      </c>
    </row>
    <row r="826" spans="1:7" ht="24">
      <c r="A826" s="299">
        <v>8</v>
      </c>
      <c r="B826" s="672">
        <v>330200200400000</v>
      </c>
      <c r="C826" s="300" t="s">
        <v>2469</v>
      </c>
      <c r="D826" s="311"/>
      <c r="E826" s="322"/>
      <c r="F826" s="322"/>
      <c r="G826" s="322">
        <f t="shared" si="30"/>
        <v>0</v>
      </c>
    </row>
    <row r="827" spans="1:7" ht="24">
      <c r="A827" s="299">
        <v>8</v>
      </c>
      <c r="B827" s="672">
        <v>330200200500000</v>
      </c>
      <c r="C827" s="300" t="s">
        <v>2470</v>
      </c>
      <c r="D827" s="311"/>
      <c r="E827" s="322"/>
      <c r="F827" s="322"/>
      <c r="G827" s="322">
        <f t="shared" si="30"/>
        <v>0</v>
      </c>
    </row>
    <row r="828" spans="1:7" ht="24">
      <c r="A828" s="299">
        <v>8</v>
      </c>
      <c r="B828" s="672">
        <v>330200200600000</v>
      </c>
      <c r="C828" s="300" t="s">
        <v>2471</v>
      </c>
      <c r="D828" s="311"/>
      <c r="E828" s="322"/>
      <c r="F828" s="322"/>
      <c r="G828" s="322">
        <f t="shared" si="30"/>
        <v>0</v>
      </c>
    </row>
    <row r="829" spans="1:7" ht="24">
      <c r="A829" s="299">
        <v>8</v>
      </c>
      <c r="B829" s="672">
        <v>330200200900000</v>
      </c>
      <c r="C829" s="300" t="s">
        <v>2472</v>
      </c>
      <c r="D829" s="311"/>
      <c r="E829" s="322"/>
      <c r="F829" s="322"/>
      <c r="G829" s="322">
        <f t="shared" si="30"/>
        <v>0</v>
      </c>
    </row>
    <row r="830" spans="1:7" ht="24">
      <c r="A830" s="303">
        <v>7</v>
      </c>
      <c r="B830" s="675">
        <v>3302002010000</v>
      </c>
      <c r="C830" s="304" t="s">
        <v>2473</v>
      </c>
      <c r="D830" s="313"/>
      <c r="E830" s="325"/>
      <c r="F830" s="325"/>
      <c r="G830" s="325">
        <f t="shared" si="30"/>
        <v>0</v>
      </c>
    </row>
    <row r="831" spans="1:7" ht="24">
      <c r="A831" s="299">
        <v>8</v>
      </c>
      <c r="B831" s="672">
        <v>330200201100000</v>
      </c>
      <c r="C831" s="300" t="s">
        <v>2474</v>
      </c>
      <c r="D831" s="311"/>
      <c r="E831" s="322"/>
      <c r="F831" s="322"/>
      <c r="G831" s="322">
        <f t="shared" si="30"/>
        <v>0</v>
      </c>
    </row>
    <row r="832" spans="1:7" ht="24">
      <c r="A832" s="303">
        <v>8</v>
      </c>
      <c r="B832" s="675">
        <v>3302002012000</v>
      </c>
      <c r="C832" s="304" t="s">
        <v>2475</v>
      </c>
      <c r="D832" s="313"/>
      <c r="E832" s="325"/>
      <c r="F832" s="325"/>
      <c r="G832" s="325">
        <f t="shared" si="30"/>
        <v>0</v>
      </c>
    </row>
    <row r="833" spans="1:7" ht="24">
      <c r="A833" s="299">
        <v>9</v>
      </c>
      <c r="B833" s="672">
        <v>330200201201000</v>
      </c>
      <c r="C833" s="300" t="s">
        <v>2476</v>
      </c>
      <c r="D833" s="311"/>
      <c r="E833" s="322"/>
      <c r="F833" s="322"/>
      <c r="G833" s="322">
        <f t="shared" si="30"/>
        <v>0</v>
      </c>
    </row>
    <row r="834" spans="1:7" ht="24">
      <c r="A834" s="299">
        <v>9</v>
      </c>
      <c r="B834" s="672">
        <v>330200201202000</v>
      </c>
      <c r="C834" s="300" t="s">
        <v>2477</v>
      </c>
      <c r="D834" s="311"/>
      <c r="E834" s="322"/>
      <c r="F834" s="322"/>
      <c r="G834" s="322">
        <f t="shared" si="30"/>
        <v>0</v>
      </c>
    </row>
    <row r="835" spans="1:7">
      <c r="A835" s="299">
        <v>9</v>
      </c>
      <c r="B835" s="672">
        <v>330200201203000</v>
      </c>
      <c r="C835" s="300" t="s">
        <v>2478</v>
      </c>
      <c r="D835" s="311"/>
      <c r="E835" s="322"/>
      <c r="F835" s="322"/>
      <c r="G835" s="322">
        <f t="shared" si="30"/>
        <v>0</v>
      </c>
    </row>
    <row r="836" spans="1:7" ht="24">
      <c r="A836" s="303">
        <v>8</v>
      </c>
      <c r="B836" s="675">
        <v>3302002013000</v>
      </c>
      <c r="C836" s="304" t="s">
        <v>2479</v>
      </c>
      <c r="D836" s="313"/>
      <c r="E836" s="325"/>
      <c r="F836" s="325"/>
      <c r="G836" s="325">
        <f t="shared" si="30"/>
        <v>0</v>
      </c>
    </row>
    <row r="837" spans="1:7" ht="24">
      <c r="A837" s="299">
        <v>9</v>
      </c>
      <c r="B837" s="672">
        <v>330200201301000</v>
      </c>
      <c r="C837" s="300" t="s">
        <v>2480</v>
      </c>
      <c r="D837" s="311"/>
      <c r="E837" s="322"/>
      <c r="F837" s="322"/>
      <c r="G837" s="322">
        <f t="shared" si="30"/>
        <v>0</v>
      </c>
    </row>
    <row r="838" spans="1:7" ht="24">
      <c r="A838" s="299">
        <v>9</v>
      </c>
      <c r="B838" s="672">
        <v>330200201302000</v>
      </c>
      <c r="C838" s="300" t="s">
        <v>2481</v>
      </c>
      <c r="D838" s="311"/>
      <c r="E838" s="322"/>
      <c r="F838" s="322"/>
      <c r="G838" s="322">
        <f t="shared" si="30"/>
        <v>0</v>
      </c>
    </row>
    <row r="839" spans="1:7" ht="24">
      <c r="A839" s="299">
        <v>9</v>
      </c>
      <c r="B839" s="672">
        <v>330200201303000</v>
      </c>
      <c r="C839" s="300" t="s">
        <v>2482</v>
      </c>
      <c r="D839" s="311"/>
      <c r="E839" s="322"/>
      <c r="F839" s="322"/>
      <c r="G839" s="322">
        <f t="shared" si="30"/>
        <v>0</v>
      </c>
    </row>
    <row r="840" spans="1:7" ht="24">
      <c r="A840" s="299">
        <v>8</v>
      </c>
      <c r="B840" s="672">
        <v>330200201400000</v>
      </c>
      <c r="C840" s="300" t="s">
        <v>2483</v>
      </c>
      <c r="D840" s="311"/>
      <c r="E840" s="322"/>
      <c r="F840" s="322"/>
      <c r="G840" s="322">
        <f t="shared" si="30"/>
        <v>0</v>
      </c>
    </row>
    <row r="841" spans="1:7" ht="24">
      <c r="A841" s="299">
        <v>8</v>
      </c>
      <c r="B841" s="672">
        <v>330200201500000</v>
      </c>
      <c r="C841" s="300" t="s">
        <v>2484</v>
      </c>
      <c r="D841" s="311"/>
      <c r="E841" s="322"/>
      <c r="F841" s="322"/>
      <c r="G841" s="322">
        <f t="shared" si="30"/>
        <v>0</v>
      </c>
    </row>
    <row r="842" spans="1:7" ht="24">
      <c r="A842" s="299">
        <v>8</v>
      </c>
      <c r="B842" s="672">
        <v>330200201600000</v>
      </c>
      <c r="C842" s="300" t="s">
        <v>2485</v>
      </c>
      <c r="D842" s="311"/>
      <c r="E842" s="322"/>
      <c r="F842" s="322"/>
      <c r="G842" s="322">
        <f t="shared" si="30"/>
        <v>0</v>
      </c>
    </row>
    <row r="843" spans="1:7" ht="24">
      <c r="A843" s="299">
        <v>8</v>
      </c>
      <c r="B843" s="672">
        <v>330200201900000</v>
      </c>
      <c r="C843" s="300" t="s">
        <v>2486</v>
      </c>
      <c r="D843" s="311"/>
      <c r="E843" s="322"/>
      <c r="F843" s="322"/>
      <c r="G843" s="322">
        <f t="shared" si="30"/>
        <v>0</v>
      </c>
    </row>
    <row r="844" spans="1:7">
      <c r="A844" s="309">
        <v>6</v>
      </c>
      <c r="B844" s="673" t="s">
        <v>942</v>
      </c>
      <c r="C844" s="296" t="s">
        <v>1625</v>
      </c>
      <c r="D844" s="310"/>
      <c r="E844" s="319"/>
      <c r="F844" s="319"/>
      <c r="G844" s="319">
        <f t="shared" si="30"/>
        <v>0</v>
      </c>
    </row>
    <row r="845" spans="1:7">
      <c r="A845" s="299">
        <v>7</v>
      </c>
      <c r="B845" s="672">
        <v>330200300000000</v>
      </c>
      <c r="C845" s="300" t="s">
        <v>941</v>
      </c>
      <c r="D845" s="311"/>
      <c r="E845" s="322"/>
      <c r="F845" s="322"/>
      <c r="G845" s="322">
        <f t="shared" si="30"/>
        <v>0</v>
      </c>
    </row>
    <row r="846" spans="1:7">
      <c r="A846" s="309">
        <v>4</v>
      </c>
      <c r="B846" s="673" t="s">
        <v>943</v>
      </c>
      <c r="C846" s="296" t="s">
        <v>2487</v>
      </c>
      <c r="D846" s="310"/>
      <c r="E846" s="319"/>
      <c r="F846" s="319"/>
      <c r="G846" s="319">
        <f t="shared" si="30"/>
        <v>0</v>
      </c>
    </row>
    <row r="847" spans="1:7">
      <c r="A847" s="309">
        <v>5</v>
      </c>
      <c r="B847" s="673" t="s">
        <v>944</v>
      </c>
      <c r="C847" s="296" t="s">
        <v>1627</v>
      </c>
      <c r="D847" s="310"/>
      <c r="E847" s="319"/>
      <c r="F847" s="319"/>
      <c r="G847" s="319">
        <f t="shared" si="30"/>
        <v>0</v>
      </c>
    </row>
    <row r="848" spans="1:7" ht="25.5">
      <c r="A848" s="309">
        <v>6</v>
      </c>
      <c r="B848" s="673" t="s">
        <v>945</v>
      </c>
      <c r="C848" s="296" t="s">
        <v>1628</v>
      </c>
      <c r="D848" s="310"/>
      <c r="E848" s="319"/>
      <c r="F848" s="319"/>
      <c r="G848" s="319">
        <f t="shared" si="30"/>
        <v>0</v>
      </c>
    </row>
    <row r="849" spans="1:7" ht="24">
      <c r="A849" s="299">
        <v>7</v>
      </c>
      <c r="B849" s="672">
        <v>335100100100000</v>
      </c>
      <c r="C849" s="300" t="s">
        <v>2488</v>
      </c>
      <c r="D849" s="311"/>
      <c r="E849" s="322">
        <v>765885.1</v>
      </c>
      <c r="F849" s="322">
        <v>656632.71</v>
      </c>
      <c r="G849" s="322">
        <f t="shared" si="30"/>
        <v>109252.39000000001</v>
      </c>
    </row>
    <row r="850" spans="1:7" ht="24">
      <c r="A850" s="299">
        <v>7</v>
      </c>
      <c r="B850" s="672">
        <v>335100100200000</v>
      </c>
      <c r="C850" s="300" t="s">
        <v>2489</v>
      </c>
      <c r="D850" s="311"/>
      <c r="E850" s="322">
        <v>270230.37</v>
      </c>
      <c r="F850" s="322">
        <v>264303.59999999998</v>
      </c>
      <c r="G850" s="322">
        <f t="shared" si="30"/>
        <v>5926.7700000000186</v>
      </c>
    </row>
    <row r="851" spans="1:7" ht="24">
      <c r="A851" s="299">
        <v>7</v>
      </c>
      <c r="B851" s="672">
        <v>335100100300000</v>
      </c>
      <c r="C851" s="300" t="s">
        <v>2490</v>
      </c>
      <c r="D851" s="311"/>
      <c r="E851" s="322">
        <v>161508.15</v>
      </c>
      <c r="F851" s="322">
        <v>168434.41</v>
      </c>
      <c r="G851" s="322">
        <f t="shared" si="30"/>
        <v>-6926.2600000000093</v>
      </c>
    </row>
    <row r="852" spans="1:7" ht="24">
      <c r="A852" s="299">
        <v>7</v>
      </c>
      <c r="B852" s="672">
        <v>335100100400000</v>
      </c>
      <c r="C852" s="300" t="s">
        <v>2491</v>
      </c>
      <c r="D852" s="311"/>
      <c r="E852" s="322"/>
      <c r="F852" s="322"/>
      <c r="G852" s="322">
        <f t="shared" si="30"/>
        <v>0</v>
      </c>
    </row>
    <row r="853" spans="1:7" ht="24">
      <c r="A853" s="299">
        <v>7</v>
      </c>
      <c r="B853" s="672">
        <v>335100100500000</v>
      </c>
      <c r="C853" s="300" t="s">
        <v>2492</v>
      </c>
      <c r="D853" s="311"/>
      <c r="E853" s="322"/>
      <c r="F853" s="322"/>
      <c r="G853" s="322">
        <f t="shared" si="30"/>
        <v>0</v>
      </c>
    </row>
    <row r="854" spans="1:7" ht="24">
      <c r="A854" s="299">
        <v>7</v>
      </c>
      <c r="B854" s="672">
        <v>335100100600000</v>
      </c>
      <c r="C854" s="300" t="s">
        <v>2493</v>
      </c>
      <c r="D854" s="311"/>
      <c r="E854" s="322"/>
      <c r="F854" s="322"/>
      <c r="G854" s="322">
        <f t="shared" si="30"/>
        <v>0</v>
      </c>
    </row>
    <row r="855" spans="1:7" ht="24">
      <c r="A855" s="299">
        <v>7</v>
      </c>
      <c r="B855" s="672">
        <v>335100100700000</v>
      </c>
      <c r="C855" s="300" t="s">
        <v>2494</v>
      </c>
      <c r="D855" s="311"/>
      <c r="E855" s="322">
        <v>36844.35</v>
      </c>
      <c r="F855" s="322">
        <v>36844.35</v>
      </c>
      <c r="G855" s="322">
        <f t="shared" si="30"/>
        <v>0</v>
      </c>
    </row>
    <row r="856" spans="1:7" ht="24">
      <c r="A856" s="299">
        <v>7</v>
      </c>
      <c r="B856" s="672">
        <v>335100100900000</v>
      </c>
      <c r="C856" s="300" t="s">
        <v>2495</v>
      </c>
      <c r="D856" s="311"/>
      <c r="E856" s="322">
        <v>335796.4</v>
      </c>
      <c r="F856" s="322">
        <v>290939.46000000002</v>
      </c>
      <c r="G856" s="322">
        <f t="shared" si="30"/>
        <v>44856.94</v>
      </c>
    </row>
    <row r="857" spans="1:7" ht="25.5">
      <c r="A857" s="309">
        <v>6</v>
      </c>
      <c r="B857" s="673" t="s">
        <v>946</v>
      </c>
      <c r="C857" s="296" t="s">
        <v>1629</v>
      </c>
      <c r="D857" s="310"/>
      <c r="E857" s="319"/>
      <c r="F857" s="319"/>
      <c r="G857" s="319">
        <f t="shared" si="30"/>
        <v>0</v>
      </c>
    </row>
    <row r="858" spans="1:7" ht="24">
      <c r="A858" s="299">
        <v>7</v>
      </c>
      <c r="B858" s="672">
        <v>335100200100000</v>
      </c>
      <c r="C858" s="300" t="s">
        <v>2496</v>
      </c>
      <c r="D858" s="311"/>
      <c r="E858" s="322">
        <v>75644.62</v>
      </c>
      <c r="F858" s="322">
        <v>116442.17</v>
      </c>
      <c r="G858" s="322">
        <f t="shared" si="30"/>
        <v>-40797.550000000003</v>
      </c>
    </row>
    <row r="859" spans="1:7" ht="24">
      <c r="A859" s="299">
        <v>7</v>
      </c>
      <c r="B859" s="672">
        <v>335100200200000</v>
      </c>
      <c r="C859" s="300" t="s">
        <v>2497</v>
      </c>
      <c r="D859" s="311"/>
      <c r="E859" s="322">
        <v>9152.6299999999992</v>
      </c>
      <c r="F859" s="322">
        <v>34662.949999999997</v>
      </c>
      <c r="G859" s="322">
        <f t="shared" si="30"/>
        <v>-25510.32</v>
      </c>
    </row>
    <row r="860" spans="1:7" ht="24">
      <c r="A860" s="299">
        <v>7</v>
      </c>
      <c r="B860" s="672">
        <v>335100200300000</v>
      </c>
      <c r="C860" s="300" t="s">
        <v>2498</v>
      </c>
      <c r="D860" s="311"/>
      <c r="E860" s="322">
        <v>8790</v>
      </c>
      <c r="F860" s="322">
        <v>21054.3</v>
      </c>
      <c r="G860" s="322">
        <f t="shared" si="30"/>
        <v>-12264.3</v>
      </c>
    </row>
    <row r="861" spans="1:7" ht="24">
      <c r="A861" s="299">
        <v>7</v>
      </c>
      <c r="B861" s="672">
        <v>335100200400000</v>
      </c>
      <c r="C861" s="300" t="s">
        <v>2499</v>
      </c>
      <c r="D861" s="311"/>
      <c r="E861" s="322"/>
      <c r="F861" s="322"/>
      <c r="G861" s="322">
        <f t="shared" si="30"/>
        <v>0</v>
      </c>
    </row>
    <row r="862" spans="1:7" ht="24">
      <c r="A862" s="299">
        <v>7</v>
      </c>
      <c r="B862" s="672">
        <v>335100200500000</v>
      </c>
      <c r="C862" s="300" t="s">
        <v>2500</v>
      </c>
      <c r="D862" s="311"/>
      <c r="E862" s="322"/>
      <c r="F862" s="322"/>
      <c r="G862" s="322">
        <f t="shared" si="30"/>
        <v>0</v>
      </c>
    </row>
    <row r="863" spans="1:7" ht="24">
      <c r="A863" s="299">
        <v>7</v>
      </c>
      <c r="B863" s="672">
        <v>335100200600000</v>
      </c>
      <c r="C863" s="300" t="s">
        <v>2501</v>
      </c>
      <c r="D863" s="311"/>
      <c r="E863" s="322"/>
      <c r="F863" s="322"/>
      <c r="G863" s="322">
        <f t="shared" si="30"/>
        <v>0</v>
      </c>
    </row>
    <row r="864" spans="1:7" ht="24">
      <c r="A864" s="299">
        <v>7</v>
      </c>
      <c r="B864" s="672">
        <v>335100200700000</v>
      </c>
      <c r="C864" s="300" t="s">
        <v>2502</v>
      </c>
      <c r="D864" s="311"/>
      <c r="E864" s="322"/>
      <c r="F864" s="322"/>
      <c r="G864" s="322">
        <f t="shared" si="30"/>
        <v>0</v>
      </c>
    </row>
    <row r="865" spans="1:7" ht="24">
      <c r="A865" s="299">
        <v>7</v>
      </c>
      <c r="B865" s="672">
        <v>335100200900000</v>
      </c>
      <c r="C865" s="300" t="s">
        <v>2503</v>
      </c>
      <c r="D865" s="311"/>
      <c r="E865" s="322">
        <v>28726.62</v>
      </c>
      <c r="F865" s="322">
        <v>50256.58</v>
      </c>
      <c r="G865" s="322">
        <f t="shared" si="30"/>
        <v>-21529.960000000003</v>
      </c>
    </row>
    <row r="866" spans="1:7" ht="25.5">
      <c r="A866" s="309">
        <v>6</v>
      </c>
      <c r="B866" s="673" t="s">
        <v>948</v>
      </c>
      <c r="C866" s="296" t="s">
        <v>1630</v>
      </c>
      <c r="D866" s="310"/>
      <c r="E866" s="319"/>
      <c r="F866" s="319"/>
      <c r="G866" s="319">
        <f t="shared" ref="G866:G929" si="31">E866-F866</f>
        <v>0</v>
      </c>
    </row>
    <row r="867" spans="1:7">
      <c r="A867" s="299">
        <v>7</v>
      </c>
      <c r="B867" s="672">
        <v>335100300000000</v>
      </c>
      <c r="C867" s="300" t="s">
        <v>947</v>
      </c>
      <c r="D867" s="311"/>
      <c r="E867" s="322"/>
      <c r="F867" s="322"/>
      <c r="G867" s="322">
        <f t="shared" si="31"/>
        <v>0</v>
      </c>
    </row>
    <row r="868" spans="1:7">
      <c r="A868" s="309">
        <v>5</v>
      </c>
      <c r="B868" s="673" t="s">
        <v>949</v>
      </c>
      <c r="C868" s="296" t="s">
        <v>1631</v>
      </c>
      <c r="D868" s="310"/>
      <c r="E868" s="319"/>
      <c r="F868" s="319"/>
      <c r="G868" s="319">
        <f t="shared" si="31"/>
        <v>0</v>
      </c>
    </row>
    <row r="869" spans="1:7" ht="25.5">
      <c r="A869" s="309">
        <v>6</v>
      </c>
      <c r="B869" s="673" t="s">
        <v>950</v>
      </c>
      <c r="C869" s="296" t="s">
        <v>1632</v>
      </c>
      <c r="D869" s="310"/>
      <c r="E869" s="319"/>
      <c r="F869" s="319"/>
      <c r="G869" s="319">
        <f t="shared" si="31"/>
        <v>0</v>
      </c>
    </row>
    <row r="870" spans="1:7" ht="24">
      <c r="A870" s="299">
        <v>7</v>
      </c>
      <c r="B870" s="672">
        <v>335200100100000</v>
      </c>
      <c r="C870" s="300" t="s">
        <v>2504</v>
      </c>
      <c r="D870" s="311"/>
      <c r="E870" s="322">
        <v>2126517.56</v>
      </c>
      <c r="F870" s="322">
        <v>1933096.31</v>
      </c>
      <c r="G870" s="322">
        <f t="shared" si="31"/>
        <v>193421.25</v>
      </c>
    </row>
    <row r="871" spans="1:7" ht="24">
      <c r="A871" s="303">
        <v>7</v>
      </c>
      <c r="B871" s="675">
        <v>3352001002000</v>
      </c>
      <c r="C871" s="304" t="s">
        <v>2505</v>
      </c>
      <c r="D871" s="313"/>
      <c r="E871" s="325"/>
      <c r="F871" s="325"/>
      <c r="G871" s="325">
        <f t="shared" si="31"/>
        <v>0</v>
      </c>
    </row>
    <row r="872" spans="1:7" ht="24">
      <c r="A872" s="299">
        <v>8</v>
      </c>
      <c r="B872" s="672">
        <v>335200100201000</v>
      </c>
      <c r="C872" s="300" t="s">
        <v>2506</v>
      </c>
      <c r="D872" s="311"/>
      <c r="E872" s="322">
        <v>17540</v>
      </c>
      <c r="F872" s="322">
        <v>15437.32</v>
      </c>
      <c r="G872" s="322">
        <f t="shared" si="31"/>
        <v>2102.6800000000003</v>
      </c>
    </row>
    <row r="873" spans="1:7" ht="24">
      <c r="A873" s="299">
        <v>8</v>
      </c>
      <c r="B873" s="672">
        <v>335200100202000</v>
      </c>
      <c r="C873" s="300" t="s">
        <v>2507</v>
      </c>
      <c r="D873" s="311"/>
      <c r="E873" s="322"/>
      <c r="F873" s="322"/>
      <c r="G873" s="322">
        <f t="shared" si="31"/>
        <v>0</v>
      </c>
    </row>
    <row r="874" spans="1:7">
      <c r="A874" s="299">
        <v>8</v>
      </c>
      <c r="B874" s="672">
        <v>335200100203000</v>
      </c>
      <c r="C874" s="300" t="s">
        <v>2508</v>
      </c>
      <c r="D874" s="311"/>
      <c r="E874" s="322">
        <v>415868.81</v>
      </c>
      <c r="F874" s="322">
        <v>238190.17</v>
      </c>
      <c r="G874" s="322">
        <f t="shared" si="31"/>
        <v>177678.63999999998</v>
      </c>
    </row>
    <row r="875" spans="1:7" ht="24">
      <c r="A875" s="303">
        <v>7</v>
      </c>
      <c r="B875" s="675">
        <v>3352001003000</v>
      </c>
      <c r="C875" s="304" t="s">
        <v>2509</v>
      </c>
      <c r="D875" s="313"/>
      <c r="E875" s="325"/>
      <c r="F875" s="325"/>
      <c r="G875" s="325">
        <f t="shared" si="31"/>
        <v>0</v>
      </c>
    </row>
    <row r="876" spans="1:7" ht="24">
      <c r="A876" s="299">
        <v>8</v>
      </c>
      <c r="B876" s="672">
        <v>335200100301000</v>
      </c>
      <c r="C876" s="300" t="s">
        <v>2510</v>
      </c>
      <c r="D876" s="311"/>
      <c r="E876" s="322">
        <v>54884.75</v>
      </c>
      <c r="F876" s="322"/>
      <c r="G876" s="322">
        <f t="shared" si="31"/>
        <v>54884.75</v>
      </c>
    </row>
    <row r="877" spans="1:7" ht="24">
      <c r="A877" s="299">
        <v>8</v>
      </c>
      <c r="B877" s="672">
        <v>335200100302000</v>
      </c>
      <c r="C877" s="300" t="s">
        <v>2511</v>
      </c>
      <c r="D877" s="311"/>
      <c r="E877" s="322">
        <v>75986.67</v>
      </c>
      <c r="F877" s="322"/>
      <c r="G877" s="322">
        <f t="shared" si="31"/>
        <v>75986.67</v>
      </c>
    </row>
    <row r="878" spans="1:7" ht="24">
      <c r="A878" s="299">
        <v>8</v>
      </c>
      <c r="B878" s="672">
        <v>335200100303000</v>
      </c>
      <c r="C878" s="300" t="s">
        <v>2512</v>
      </c>
      <c r="D878" s="311"/>
      <c r="E878" s="322">
        <v>101302.55</v>
      </c>
      <c r="F878" s="322">
        <v>257719.7</v>
      </c>
      <c r="G878" s="322">
        <f t="shared" si="31"/>
        <v>-156417.15000000002</v>
      </c>
    </row>
    <row r="879" spans="1:7" ht="24">
      <c r="A879" s="299">
        <v>7</v>
      </c>
      <c r="B879" s="672">
        <v>335200100400000</v>
      </c>
      <c r="C879" s="300" t="s">
        <v>2513</v>
      </c>
      <c r="D879" s="311"/>
      <c r="E879" s="322"/>
      <c r="F879" s="322"/>
      <c r="G879" s="322">
        <f t="shared" si="31"/>
        <v>0</v>
      </c>
    </row>
    <row r="880" spans="1:7" ht="24">
      <c r="A880" s="299">
        <v>7</v>
      </c>
      <c r="B880" s="672">
        <v>335200100500000</v>
      </c>
      <c r="C880" s="300" t="s">
        <v>2514</v>
      </c>
      <c r="D880" s="311"/>
      <c r="E880" s="322"/>
      <c r="F880" s="322"/>
      <c r="G880" s="322">
        <f t="shared" si="31"/>
        <v>0</v>
      </c>
    </row>
    <row r="881" spans="1:7" ht="24">
      <c r="A881" s="299">
        <v>7</v>
      </c>
      <c r="B881" s="672">
        <v>335200100600000</v>
      </c>
      <c r="C881" s="300" t="s">
        <v>2515</v>
      </c>
      <c r="D881" s="311"/>
      <c r="E881" s="322">
        <v>9889.0300000000007</v>
      </c>
      <c r="F881" s="322">
        <v>35244.639999999999</v>
      </c>
      <c r="G881" s="322">
        <f t="shared" si="31"/>
        <v>-25355.61</v>
      </c>
    </row>
    <row r="882" spans="1:7" ht="24">
      <c r="A882" s="299">
        <v>7</v>
      </c>
      <c r="B882" s="672">
        <v>335200100900000</v>
      </c>
      <c r="C882" s="300" t="s">
        <v>2516</v>
      </c>
      <c r="D882" s="311"/>
      <c r="E882" s="322">
        <v>811815.56</v>
      </c>
      <c r="F882" s="322">
        <v>702212.42</v>
      </c>
      <c r="G882" s="322">
        <f t="shared" si="31"/>
        <v>109603.14000000001</v>
      </c>
    </row>
    <row r="883" spans="1:7" ht="25.5">
      <c r="A883" s="309">
        <v>6</v>
      </c>
      <c r="B883" s="673" t="s">
        <v>951</v>
      </c>
      <c r="C883" s="296" t="s">
        <v>1633</v>
      </c>
      <c r="D883" s="310"/>
      <c r="E883" s="319"/>
      <c r="F883" s="319"/>
      <c r="G883" s="319">
        <f t="shared" si="31"/>
        <v>0</v>
      </c>
    </row>
    <row r="884" spans="1:7" ht="24">
      <c r="A884" s="299">
        <v>7</v>
      </c>
      <c r="B884" s="672">
        <v>335200200100000</v>
      </c>
      <c r="C884" s="300" t="s">
        <v>2517</v>
      </c>
      <c r="D884" s="311"/>
      <c r="E884" s="322">
        <v>425926.91</v>
      </c>
      <c r="F884" s="322">
        <v>76263.45</v>
      </c>
      <c r="G884" s="322">
        <f t="shared" si="31"/>
        <v>349663.45999999996</v>
      </c>
    </row>
    <row r="885" spans="1:7" ht="24">
      <c r="A885" s="303">
        <v>7</v>
      </c>
      <c r="B885" s="675">
        <v>3352002002000</v>
      </c>
      <c r="C885" s="304" t="s">
        <v>2518</v>
      </c>
      <c r="D885" s="313"/>
      <c r="E885" s="325"/>
      <c r="F885" s="325"/>
      <c r="G885" s="325">
        <f t="shared" si="31"/>
        <v>0</v>
      </c>
    </row>
    <row r="886" spans="1:7" ht="24">
      <c r="A886" s="299">
        <v>8</v>
      </c>
      <c r="B886" s="672">
        <v>335200200201000</v>
      </c>
      <c r="C886" s="300" t="s">
        <v>2519</v>
      </c>
      <c r="D886" s="311"/>
      <c r="E886" s="322">
        <v>1032</v>
      </c>
      <c r="F886" s="322">
        <v>30.74</v>
      </c>
      <c r="G886" s="322">
        <f t="shared" si="31"/>
        <v>1001.26</v>
      </c>
    </row>
    <row r="887" spans="1:7" ht="24">
      <c r="A887" s="299">
        <v>8</v>
      </c>
      <c r="B887" s="672">
        <v>335200200202000</v>
      </c>
      <c r="C887" s="300" t="s">
        <v>2520</v>
      </c>
      <c r="D887" s="311"/>
      <c r="E887" s="322"/>
      <c r="F887" s="322"/>
      <c r="G887" s="322">
        <f t="shared" si="31"/>
        <v>0</v>
      </c>
    </row>
    <row r="888" spans="1:7">
      <c r="A888" s="299">
        <v>8</v>
      </c>
      <c r="B888" s="672">
        <v>335200200203000</v>
      </c>
      <c r="C888" s="300" t="s">
        <v>2521</v>
      </c>
      <c r="D888" s="311"/>
      <c r="E888" s="322">
        <v>15236.73</v>
      </c>
      <c r="F888" s="322">
        <v>64031.37</v>
      </c>
      <c r="G888" s="322">
        <f t="shared" si="31"/>
        <v>-48794.64</v>
      </c>
    </row>
    <row r="889" spans="1:7" ht="24">
      <c r="A889" s="303">
        <v>7</v>
      </c>
      <c r="B889" s="675">
        <v>3352002003000</v>
      </c>
      <c r="C889" s="304" t="s">
        <v>2522</v>
      </c>
      <c r="D889" s="313"/>
      <c r="E889" s="325"/>
      <c r="F889" s="325"/>
      <c r="G889" s="325">
        <f t="shared" si="31"/>
        <v>0</v>
      </c>
    </row>
    <row r="890" spans="1:7" ht="24">
      <c r="A890" s="299">
        <v>8</v>
      </c>
      <c r="B890" s="672">
        <v>335200200301000</v>
      </c>
      <c r="C890" s="300" t="s">
        <v>2523</v>
      </c>
      <c r="D890" s="311"/>
      <c r="E890" s="322">
        <v>1692.24</v>
      </c>
      <c r="F890" s="322"/>
      <c r="G890" s="322">
        <f t="shared" si="31"/>
        <v>1692.24</v>
      </c>
    </row>
    <row r="891" spans="1:7" ht="24">
      <c r="A891" s="299">
        <v>8</v>
      </c>
      <c r="B891" s="672">
        <v>335200200302000</v>
      </c>
      <c r="C891" s="300" t="s">
        <v>2524</v>
      </c>
      <c r="D891" s="311"/>
      <c r="E891" s="322"/>
      <c r="F891" s="322"/>
      <c r="G891" s="322">
        <f t="shared" si="31"/>
        <v>0</v>
      </c>
    </row>
    <row r="892" spans="1:7" ht="24">
      <c r="A892" s="299">
        <v>8</v>
      </c>
      <c r="B892" s="672">
        <v>335200200303000</v>
      </c>
      <c r="C892" s="300" t="s">
        <v>2525</v>
      </c>
      <c r="D892" s="311"/>
      <c r="E892" s="322">
        <v>15337.66</v>
      </c>
      <c r="F892" s="322">
        <v>2895.64</v>
      </c>
      <c r="G892" s="322">
        <f t="shared" si="31"/>
        <v>12442.02</v>
      </c>
    </row>
    <row r="893" spans="1:7" ht="24">
      <c r="A893" s="299">
        <v>7</v>
      </c>
      <c r="B893" s="672">
        <v>335200200400000</v>
      </c>
      <c r="C893" s="300" t="s">
        <v>2526</v>
      </c>
      <c r="D893" s="311"/>
      <c r="E893" s="322"/>
      <c r="F893" s="322"/>
      <c r="G893" s="322">
        <f t="shared" si="31"/>
        <v>0</v>
      </c>
    </row>
    <row r="894" spans="1:7" ht="24">
      <c r="A894" s="299">
        <v>7</v>
      </c>
      <c r="B894" s="672">
        <v>335200200500000</v>
      </c>
      <c r="C894" s="300" t="s">
        <v>2527</v>
      </c>
      <c r="D894" s="311"/>
      <c r="E894" s="322"/>
      <c r="F894" s="322"/>
      <c r="G894" s="322">
        <f t="shared" si="31"/>
        <v>0</v>
      </c>
    </row>
    <row r="895" spans="1:7" ht="24">
      <c r="A895" s="299">
        <v>7</v>
      </c>
      <c r="B895" s="672">
        <v>335200200600000</v>
      </c>
      <c r="C895" s="300" t="s">
        <v>2528</v>
      </c>
      <c r="D895" s="311"/>
      <c r="E895" s="322">
        <v>27494.26</v>
      </c>
      <c r="F895" s="322">
        <v>4115.24</v>
      </c>
      <c r="G895" s="322">
        <f t="shared" si="31"/>
        <v>23379.019999999997</v>
      </c>
    </row>
    <row r="896" spans="1:7" ht="24">
      <c r="A896" s="299">
        <v>7</v>
      </c>
      <c r="B896" s="672">
        <v>335200200900000</v>
      </c>
      <c r="C896" s="300" t="s">
        <v>2529</v>
      </c>
      <c r="D896" s="311"/>
      <c r="E896" s="322">
        <v>149318.34</v>
      </c>
      <c r="F896" s="322">
        <v>42068.61</v>
      </c>
      <c r="G896" s="322">
        <f t="shared" si="31"/>
        <v>107249.73</v>
      </c>
    </row>
    <row r="897" spans="1:7" ht="25.5">
      <c r="A897" s="309">
        <v>6</v>
      </c>
      <c r="B897" s="673" t="s">
        <v>953</v>
      </c>
      <c r="C897" s="296" t="s">
        <v>1634</v>
      </c>
      <c r="D897" s="310"/>
      <c r="E897" s="319"/>
      <c r="F897" s="319"/>
      <c r="G897" s="319">
        <f t="shared" si="31"/>
        <v>0</v>
      </c>
    </row>
    <row r="898" spans="1:7">
      <c r="A898" s="299">
        <v>7</v>
      </c>
      <c r="B898" s="672">
        <v>335200300000000</v>
      </c>
      <c r="C898" s="300" t="s">
        <v>952</v>
      </c>
      <c r="D898" s="311"/>
      <c r="E898" s="322"/>
      <c r="F898" s="322"/>
      <c r="G898" s="322">
        <f t="shared" si="31"/>
        <v>0</v>
      </c>
    </row>
    <row r="899" spans="1:7">
      <c r="A899" s="309" t="s">
        <v>1944</v>
      </c>
      <c r="B899" s="673" t="s">
        <v>954</v>
      </c>
      <c r="C899" s="296" t="s">
        <v>2530</v>
      </c>
      <c r="D899" s="310"/>
      <c r="E899" s="319"/>
      <c r="F899" s="319"/>
      <c r="G899" s="319">
        <f t="shared" si="31"/>
        <v>0</v>
      </c>
    </row>
    <row r="900" spans="1:7">
      <c r="A900" s="309" t="s">
        <v>1946</v>
      </c>
      <c r="B900" s="673" t="s">
        <v>955</v>
      </c>
      <c r="C900" s="296" t="s">
        <v>2531</v>
      </c>
      <c r="D900" s="310"/>
      <c r="E900" s="319"/>
      <c r="F900" s="319"/>
      <c r="G900" s="319">
        <f t="shared" si="31"/>
        <v>0</v>
      </c>
    </row>
    <row r="901" spans="1:7">
      <c r="A901" s="299">
        <v>5</v>
      </c>
      <c r="B901" s="672">
        <v>340100100000000</v>
      </c>
      <c r="C901" s="300" t="s">
        <v>956</v>
      </c>
      <c r="D901" s="311"/>
      <c r="E901" s="322">
        <v>2632.5</v>
      </c>
      <c r="F901" s="322">
        <v>2538.25</v>
      </c>
      <c r="G901" s="322">
        <f t="shared" si="31"/>
        <v>94.25</v>
      </c>
    </row>
    <row r="902" spans="1:7">
      <c r="A902" s="299">
        <v>5</v>
      </c>
      <c r="B902" s="672">
        <v>340100200000000</v>
      </c>
      <c r="C902" s="300" t="s">
        <v>957</v>
      </c>
      <c r="D902" s="311"/>
      <c r="E902" s="322">
        <v>31230.7</v>
      </c>
      <c r="F902" s="322">
        <v>41429.360000000001</v>
      </c>
      <c r="G902" s="322">
        <f t="shared" si="31"/>
        <v>-10198.66</v>
      </c>
    </row>
    <row r="903" spans="1:7">
      <c r="A903" s="299">
        <v>5</v>
      </c>
      <c r="B903" s="672">
        <v>340100300000000</v>
      </c>
      <c r="C903" s="300" t="s">
        <v>958</v>
      </c>
      <c r="D903" s="311"/>
      <c r="E903" s="322"/>
      <c r="F903" s="322">
        <v>0</v>
      </c>
      <c r="G903" s="322">
        <f t="shared" si="31"/>
        <v>0</v>
      </c>
    </row>
    <row r="904" spans="1:7">
      <c r="A904" s="299">
        <v>5</v>
      </c>
      <c r="B904" s="672">
        <v>340100400000000</v>
      </c>
      <c r="C904" s="300" t="s">
        <v>959</v>
      </c>
      <c r="D904" s="311"/>
      <c r="E904" s="322">
        <v>22330</v>
      </c>
      <c r="F904" s="322">
        <v>0</v>
      </c>
      <c r="G904" s="322">
        <f t="shared" si="31"/>
        <v>22330</v>
      </c>
    </row>
    <row r="905" spans="1:7">
      <c r="A905" s="299">
        <v>5</v>
      </c>
      <c r="B905" s="672">
        <v>340100500000000</v>
      </c>
      <c r="C905" s="300" t="s">
        <v>960</v>
      </c>
      <c r="D905" s="311"/>
      <c r="E905" s="322">
        <v>778.8</v>
      </c>
      <c r="F905" s="322">
        <v>778.8</v>
      </c>
      <c r="G905" s="322">
        <f t="shared" si="31"/>
        <v>0</v>
      </c>
    </row>
    <row r="906" spans="1:7">
      <c r="A906" s="299">
        <v>5</v>
      </c>
      <c r="B906" s="672">
        <v>340100600000000</v>
      </c>
      <c r="C906" s="300" t="s">
        <v>961</v>
      </c>
      <c r="D906" s="311"/>
      <c r="E906" s="322"/>
      <c r="F906" s="322">
        <v>0</v>
      </c>
      <c r="G906" s="322">
        <f t="shared" si="31"/>
        <v>0</v>
      </c>
    </row>
    <row r="907" spans="1:7">
      <c r="A907" s="299">
        <v>5</v>
      </c>
      <c r="B907" s="672">
        <v>340100900000000</v>
      </c>
      <c r="C907" s="300" t="s">
        <v>962</v>
      </c>
      <c r="D907" s="311"/>
      <c r="E907" s="322">
        <v>9513.65</v>
      </c>
      <c r="F907" s="322">
        <v>8531</v>
      </c>
      <c r="G907" s="322">
        <f t="shared" si="31"/>
        <v>982.64999999999964</v>
      </c>
    </row>
    <row r="908" spans="1:7">
      <c r="A908" s="309" t="s">
        <v>1946</v>
      </c>
      <c r="B908" s="673" t="s">
        <v>964</v>
      </c>
      <c r="C908" s="296" t="s">
        <v>2532</v>
      </c>
      <c r="D908" s="310"/>
      <c r="E908" s="319"/>
      <c r="F908" s="319"/>
      <c r="G908" s="319">
        <f t="shared" si="31"/>
        <v>0</v>
      </c>
    </row>
    <row r="909" spans="1:7">
      <c r="A909" s="299" t="s">
        <v>1948</v>
      </c>
      <c r="B909" s="672">
        <v>340200000000000</v>
      </c>
      <c r="C909" s="300" t="s">
        <v>963</v>
      </c>
      <c r="D909" s="311"/>
      <c r="E909" s="322"/>
      <c r="F909" s="322"/>
      <c r="G909" s="322">
        <f t="shared" si="31"/>
        <v>0</v>
      </c>
    </row>
    <row r="910" spans="1:7">
      <c r="A910" s="309" t="s">
        <v>1946</v>
      </c>
      <c r="B910" s="673" t="s">
        <v>966</v>
      </c>
      <c r="C910" s="296" t="s">
        <v>1638</v>
      </c>
      <c r="D910" s="310"/>
      <c r="E910" s="319"/>
      <c r="F910" s="319"/>
      <c r="G910" s="319">
        <f t="shared" si="31"/>
        <v>0</v>
      </c>
    </row>
    <row r="911" spans="1:7" ht="25.5">
      <c r="A911" s="309" t="s">
        <v>1948</v>
      </c>
      <c r="B911" s="673" t="s">
        <v>967</v>
      </c>
      <c r="C911" s="296" t="s">
        <v>2533</v>
      </c>
      <c r="D911" s="310"/>
      <c r="E911" s="319"/>
      <c r="F911" s="319"/>
      <c r="G911" s="319">
        <f t="shared" si="31"/>
        <v>0</v>
      </c>
    </row>
    <row r="912" spans="1:7">
      <c r="A912" s="314">
        <v>6</v>
      </c>
      <c r="B912" s="675">
        <v>3403001001000</v>
      </c>
      <c r="C912" s="304" t="s">
        <v>968</v>
      </c>
      <c r="D912" s="312"/>
      <c r="E912" s="324"/>
      <c r="F912" s="324"/>
      <c r="G912" s="324">
        <f t="shared" si="31"/>
        <v>0</v>
      </c>
    </row>
    <row r="913" spans="1:9">
      <c r="A913" s="299">
        <v>7</v>
      </c>
      <c r="B913" s="672">
        <v>340300100101000</v>
      </c>
      <c r="C913" s="300" t="s">
        <v>2534</v>
      </c>
      <c r="D913" s="311"/>
      <c r="E913" s="322">
        <v>623880.01</v>
      </c>
      <c r="F913" s="322">
        <v>527597.15</v>
      </c>
      <c r="G913" s="322">
        <f t="shared" si="31"/>
        <v>96282.859999999986</v>
      </c>
      <c r="H913" s="671"/>
      <c r="I913" s="671"/>
    </row>
    <row r="914" spans="1:9">
      <c r="A914" s="299">
        <v>7</v>
      </c>
      <c r="B914" s="672">
        <v>340300100103000</v>
      </c>
      <c r="C914" s="300" t="s">
        <v>2535</v>
      </c>
      <c r="D914" s="311"/>
      <c r="E914" s="322">
        <v>167181.26</v>
      </c>
      <c r="F914" s="322">
        <v>135290.25</v>
      </c>
      <c r="G914" s="322">
        <f t="shared" si="31"/>
        <v>31891.010000000009</v>
      </c>
    </row>
    <row r="915" spans="1:9">
      <c r="A915" s="299">
        <v>7</v>
      </c>
      <c r="B915" s="672">
        <v>340300100109000</v>
      </c>
      <c r="C915" s="300" t="s">
        <v>969</v>
      </c>
      <c r="D915" s="311"/>
      <c r="E915" s="322">
        <v>1840.82</v>
      </c>
      <c r="F915" s="322">
        <v>3130.41</v>
      </c>
      <c r="G915" s="322">
        <f t="shared" si="31"/>
        <v>-1289.5899999999999</v>
      </c>
    </row>
    <row r="916" spans="1:9">
      <c r="A916" s="314">
        <v>6</v>
      </c>
      <c r="B916" s="675">
        <v>3403001002000</v>
      </c>
      <c r="C916" s="304" t="s">
        <v>970</v>
      </c>
      <c r="D916" s="312"/>
      <c r="E916" s="324"/>
      <c r="F916" s="324"/>
      <c r="G916" s="324">
        <f t="shared" si="31"/>
        <v>0</v>
      </c>
    </row>
    <row r="917" spans="1:9">
      <c r="A917" s="299">
        <v>7</v>
      </c>
      <c r="B917" s="672">
        <v>340300100201000</v>
      </c>
      <c r="C917" s="300" t="s">
        <v>2536</v>
      </c>
      <c r="D917" s="311"/>
      <c r="E917" s="322">
        <v>58742.04</v>
      </c>
      <c r="F917" s="322">
        <v>46901.3</v>
      </c>
      <c r="G917" s="322">
        <f t="shared" si="31"/>
        <v>11840.739999999998</v>
      </c>
    </row>
    <row r="918" spans="1:9">
      <c r="A918" s="299">
        <v>7</v>
      </c>
      <c r="B918" s="672">
        <v>340300100203000</v>
      </c>
      <c r="C918" s="300" t="s">
        <v>2537</v>
      </c>
      <c r="D918" s="311"/>
      <c r="E918" s="322"/>
      <c r="F918" s="322">
        <v>0</v>
      </c>
      <c r="G918" s="322">
        <f t="shared" si="31"/>
        <v>0</v>
      </c>
    </row>
    <row r="919" spans="1:9">
      <c r="A919" s="299">
        <v>7</v>
      </c>
      <c r="B919" s="672">
        <v>340300100209000</v>
      </c>
      <c r="C919" s="300" t="s">
        <v>971</v>
      </c>
      <c r="D919" s="311"/>
      <c r="E919" s="322">
        <v>2256.25</v>
      </c>
      <c r="F919" s="322">
        <v>541.29999999999995</v>
      </c>
      <c r="G919" s="322">
        <f t="shared" si="31"/>
        <v>1714.95</v>
      </c>
    </row>
    <row r="920" spans="1:9">
      <c r="A920" s="314">
        <v>6</v>
      </c>
      <c r="B920" s="675">
        <v>3403001003000</v>
      </c>
      <c r="C920" s="304" t="s">
        <v>972</v>
      </c>
      <c r="D920" s="312"/>
      <c r="E920" s="324"/>
      <c r="F920" s="324"/>
      <c r="G920" s="324">
        <f t="shared" si="31"/>
        <v>0</v>
      </c>
    </row>
    <row r="921" spans="1:9">
      <c r="A921" s="299">
        <v>7</v>
      </c>
      <c r="B921" s="672">
        <v>340300100301000</v>
      </c>
      <c r="C921" s="300" t="s">
        <v>2538</v>
      </c>
      <c r="D921" s="311"/>
      <c r="E921" s="322">
        <v>17400</v>
      </c>
      <c r="F921" s="322">
        <v>12827.94</v>
      </c>
      <c r="G921" s="322">
        <f t="shared" si="31"/>
        <v>4572.0599999999995</v>
      </c>
    </row>
    <row r="922" spans="1:9">
      <c r="A922" s="299">
        <v>7</v>
      </c>
      <c r="B922" s="672">
        <v>340300100303000</v>
      </c>
      <c r="C922" s="300" t="s">
        <v>2539</v>
      </c>
      <c r="D922" s="311"/>
      <c r="E922" s="322">
        <v>3850.99</v>
      </c>
      <c r="F922" s="322">
        <v>620.73</v>
      </c>
      <c r="G922" s="322">
        <f t="shared" si="31"/>
        <v>3230.2599999999998</v>
      </c>
    </row>
    <row r="923" spans="1:9">
      <c r="A923" s="299">
        <v>7</v>
      </c>
      <c r="B923" s="672">
        <v>340300100309000</v>
      </c>
      <c r="C923" s="300" t="s">
        <v>973</v>
      </c>
      <c r="D923" s="311"/>
      <c r="E923" s="322"/>
      <c r="F923" s="322">
        <v>0</v>
      </c>
      <c r="G923" s="322">
        <f t="shared" si="31"/>
        <v>0</v>
      </c>
    </row>
    <row r="924" spans="1:9">
      <c r="A924" s="309" t="s">
        <v>1948</v>
      </c>
      <c r="B924" s="673" t="s">
        <v>974</v>
      </c>
      <c r="C924" s="296" t="s">
        <v>2540</v>
      </c>
      <c r="D924" s="310"/>
      <c r="E924" s="319"/>
      <c r="F924" s="319"/>
      <c r="G924" s="319">
        <f t="shared" si="31"/>
        <v>0</v>
      </c>
    </row>
    <row r="925" spans="1:9">
      <c r="A925" s="299">
        <v>6</v>
      </c>
      <c r="B925" s="672">
        <v>340300200100000</v>
      </c>
      <c r="C925" s="300" t="s">
        <v>975</v>
      </c>
      <c r="D925" s="311"/>
      <c r="E925" s="322"/>
      <c r="F925" s="322"/>
      <c r="G925" s="322">
        <f t="shared" si="31"/>
        <v>0</v>
      </c>
    </row>
    <row r="926" spans="1:9" s="667" customFormat="1">
      <c r="A926" s="299">
        <v>6</v>
      </c>
      <c r="B926" s="674">
        <v>340300200200000</v>
      </c>
      <c r="C926" s="300" t="s">
        <v>976</v>
      </c>
      <c r="D926" s="311"/>
      <c r="E926" s="322">
        <v>432.06</v>
      </c>
      <c r="F926" s="322">
        <v>116</v>
      </c>
      <c r="G926" s="322">
        <f t="shared" si="31"/>
        <v>316.06</v>
      </c>
      <c r="H926" s="289"/>
    </row>
    <row r="927" spans="1:9" s="667" customFormat="1">
      <c r="A927" s="299">
        <v>6</v>
      </c>
      <c r="B927" s="674">
        <v>340300200900000</v>
      </c>
      <c r="C927" s="300" t="s">
        <v>965</v>
      </c>
      <c r="D927" s="311"/>
      <c r="E927" s="322"/>
      <c r="F927" s="322"/>
      <c r="G927" s="322">
        <f t="shared" si="31"/>
        <v>0</v>
      </c>
      <c r="H927" s="289"/>
    </row>
    <row r="928" spans="1:9" ht="25.5">
      <c r="A928" s="309" t="s">
        <v>1948</v>
      </c>
      <c r="B928" s="673" t="s">
        <v>978</v>
      </c>
      <c r="C928" s="296" t="s">
        <v>1641</v>
      </c>
      <c r="D928" s="310" t="s">
        <v>1238</v>
      </c>
      <c r="E928" s="319"/>
      <c r="F928" s="319"/>
      <c r="G928" s="319">
        <f t="shared" si="31"/>
        <v>0</v>
      </c>
    </row>
    <row r="929" spans="1:7" ht="24">
      <c r="A929" s="299" t="s">
        <v>1950</v>
      </c>
      <c r="B929" s="672">
        <v>340300300000000</v>
      </c>
      <c r="C929" s="300" t="s">
        <v>977</v>
      </c>
      <c r="D929" s="311" t="s">
        <v>1238</v>
      </c>
      <c r="E929" s="322"/>
      <c r="F929" s="322"/>
      <c r="G929" s="322">
        <f t="shared" si="31"/>
        <v>0</v>
      </c>
    </row>
    <row r="930" spans="1:7" ht="25.5">
      <c r="A930" s="309" t="s">
        <v>1948</v>
      </c>
      <c r="B930" s="673" t="s">
        <v>980</v>
      </c>
      <c r="C930" s="296" t="s">
        <v>1642</v>
      </c>
      <c r="D930" s="310"/>
      <c r="E930" s="319"/>
      <c r="F930" s="319"/>
      <c r="G930" s="319">
        <f t="shared" ref="G930:G993" si="32">E930-F930</f>
        <v>0</v>
      </c>
    </row>
    <row r="931" spans="1:7">
      <c r="A931" s="299" t="s">
        <v>1950</v>
      </c>
      <c r="B931" s="672">
        <v>340300400000000</v>
      </c>
      <c r="C931" s="300" t="s">
        <v>979</v>
      </c>
      <c r="D931" s="311"/>
      <c r="E931" s="322"/>
      <c r="F931" s="322"/>
      <c r="G931" s="322">
        <f t="shared" si="32"/>
        <v>0</v>
      </c>
    </row>
    <row r="932" spans="1:7">
      <c r="A932" s="309">
        <v>4</v>
      </c>
      <c r="B932" s="673" t="s">
        <v>981</v>
      </c>
      <c r="C932" s="296" t="s">
        <v>1645</v>
      </c>
      <c r="D932" s="310"/>
      <c r="E932" s="319"/>
      <c r="F932" s="319"/>
      <c r="G932" s="319">
        <f t="shared" si="32"/>
        <v>0</v>
      </c>
    </row>
    <row r="933" spans="1:7">
      <c r="A933" s="299">
        <v>5</v>
      </c>
      <c r="B933" s="672">
        <v>345100000000000</v>
      </c>
      <c r="C933" s="300" t="s">
        <v>982</v>
      </c>
      <c r="D933" s="311"/>
      <c r="E933" s="322"/>
      <c r="F933" s="322"/>
      <c r="G933" s="322">
        <f t="shared" si="32"/>
        <v>0</v>
      </c>
    </row>
    <row r="934" spans="1:7">
      <c r="A934" s="299">
        <v>5</v>
      </c>
      <c r="B934" s="672">
        <v>345200000000000</v>
      </c>
      <c r="C934" s="300" t="s">
        <v>983</v>
      </c>
      <c r="D934" s="311"/>
      <c r="E934" s="322"/>
      <c r="F934" s="322"/>
      <c r="G934" s="322">
        <f t="shared" si="32"/>
        <v>0</v>
      </c>
    </row>
    <row r="935" spans="1:7" ht="24">
      <c r="A935" s="299">
        <v>5</v>
      </c>
      <c r="B935" s="672">
        <v>345300000000000</v>
      </c>
      <c r="C935" s="300" t="s">
        <v>2541</v>
      </c>
      <c r="D935" s="311"/>
      <c r="E935" s="322"/>
      <c r="F935" s="322"/>
      <c r="G935" s="322">
        <f t="shared" si="32"/>
        <v>0</v>
      </c>
    </row>
    <row r="936" spans="1:7" ht="24">
      <c r="A936" s="299">
        <v>5</v>
      </c>
      <c r="B936" s="672">
        <v>345400000000000</v>
      </c>
      <c r="C936" s="300" t="s">
        <v>984</v>
      </c>
      <c r="D936" s="311"/>
      <c r="E936" s="322"/>
      <c r="F936" s="322"/>
      <c r="G936" s="322">
        <f t="shared" si="32"/>
        <v>0</v>
      </c>
    </row>
    <row r="937" spans="1:7">
      <c r="A937" s="299">
        <v>5</v>
      </c>
      <c r="B937" s="672">
        <v>345500000000000</v>
      </c>
      <c r="C937" s="300" t="s">
        <v>985</v>
      </c>
      <c r="D937" s="311"/>
      <c r="E937" s="322"/>
      <c r="F937" s="322"/>
      <c r="G937" s="322">
        <f t="shared" si="32"/>
        <v>0</v>
      </c>
    </row>
    <row r="938" spans="1:7">
      <c r="A938" s="299">
        <v>5</v>
      </c>
      <c r="B938" s="672">
        <v>345600000000000</v>
      </c>
      <c r="C938" s="300" t="s">
        <v>986</v>
      </c>
      <c r="D938" s="311"/>
      <c r="E938" s="322"/>
      <c r="F938" s="322"/>
      <c r="G938" s="322">
        <f t="shared" si="32"/>
        <v>0</v>
      </c>
    </row>
    <row r="939" spans="1:7">
      <c r="A939" s="299">
        <v>5</v>
      </c>
      <c r="B939" s="672">
        <v>345700000000000</v>
      </c>
      <c r="C939" s="300" t="s">
        <v>987</v>
      </c>
      <c r="D939" s="311"/>
      <c r="E939" s="322"/>
      <c r="F939" s="322"/>
      <c r="G939" s="322">
        <f t="shared" si="32"/>
        <v>0</v>
      </c>
    </row>
    <row r="940" spans="1:7">
      <c r="A940" s="299">
        <v>5</v>
      </c>
      <c r="B940" s="672">
        <v>345900000000000</v>
      </c>
      <c r="C940" s="300" t="s">
        <v>988</v>
      </c>
      <c r="D940" s="311"/>
      <c r="E940" s="322">
        <v>3904.91</v>
      </c>
      <c r="F940" s="322">
        <v>6079.98</v>
      </c>
      <c r="G940" s="322">
        <f t="shared" si="32"/>
        <v>-2175.0699999999997</v>
      </c>
    </row>
    <row r="941" spans="1:7">
      <c r="A941" s="309">
        <v>4</v>
      </c>
      <c r="B941" s="673" t="s">
        <v>989</v>
      </c>
      <c r="C941" s="296" t="s">
        <v>1646</v>
      </c>
      <c r="D941" s="310"/>
      <c r="E941" s="319"/>
      <c r="F941" s="319"/>
      <c r="G941" s="319">
        <f t="shared" si="32"/>
        <v>0</v>
      </c>
    </row>
    <row r="942" spans="1:7">
      <c r="A942" s="309">
        <v>5</v>
      </c>
      <c r="B942" s="673" t="s">
        <v>990</v>
      </c>
      <c r="C942" s="296" t="s">
        <v>1647</v>
      </c>
      <c r="D942" s="310"/>
      <c r="E942" s="319"/>
      <c r="F942" s="319"/>
      <c r="G942" s="319">
        <f t="shared" si="32"/>
        <v>0</v>
      </c>
    </row>
    <row r="943" spans="1:7" ht="25.5">
      <c r="A943" s="309">
        <v>6</v>
      </c>
      <c r="B943" s="673" t="s">
        <v>992</v>
      </c>
      <c r="C943" s="296" t="s">
        <v>1648</v>
      </c>
      <c r="D943" s="310"/>
      <c r="E943" s="319"/>
      <c r="F943" s="319"/>
      <c r="G943" s="319">
        <f t="shared" si="32"/>
        <v>0</v>
      </c>
    </row>
    <row r="944" spans="1:7">
      <c r="A944" s="299">
        <v>7</v>
      </c>
      <c r="B944" s="672">
        <v>350100100000000</v>
      </c>
      <c r="C944" s="300" t="s">
        <v>991</v>
      </c>
      <c r="D944" s="311"/>
      <c r="E944" s="322"/>
      <c r="F944" s="322"/>
      <c r="G944" s="322">
        <f t="shared" si="32"/>
        <v>0</v>
      </c>
    </row>
    <row r="945" spans="1:7">
      <c r="A945" s="309">
        <v>6</v>
      </c>
      <c r="B945" s="673" t="s">
        <v>994</v>
      </c>
      <c r="C945" s="296" t="s">
        <v>1649</v>
      </c>
      <c r="D945" s="310"/>
      <c r="E945" s="319"/>
      <c r="F945" s="319"/>
      <c r="G945" s="319">
        <f t="shared" si="32"/>
        <v>0</v>
      </c>
    </row>
    <row r="946" spans="1:7">
      <c r="A946" s="299">
        <v>7</v>
      </c>
      <c r="B946" s="672">
        <v>350100200000000</v>
      </c>
      <c r="C946" s="300" t="s">
        <v>993</v>
      </c>
      <c r="D946" s="311"/>
      <c r="E946" s="322"/>
      <c r="F946" s="322"/>
      <c r="G946" s="322">
        <f t="shared" si="32"/>
        <v>0</v>
      </c>
    </row>
    <row r="947" spans="1:7">
      <c r="A947" s="309">
        <v>5</v>
      </c>
      <c r="B947" s="673" t="s">
        <v>995</v>
      </c>
      <c r="C947" s="296" t="s">
        <v>1650</v>
      </c>
      <c r="D947" s="310"/>
      <c r="E947" s="319"/>
      <c r="F947" s="319"/>
      <c r="G947" s="319">
        <f t="shared" si="32"/>
        <v>0</v>
      </c>
    </row>
    <row r="948" spans="1:7">
      <c r="A948" s="299">
        <v>6</v>
      </c>
      <c r="B948" s="672">
        <v>350200100000000</v>
      </c>
      <c r="C948" s="300" t="s">
        <v>996</v>
      </c>
      <c r="D948" s="311"/>
      <c r="E948" s="322">
        <v>26781.39</v>
      </c>
      <c r="F948" s="322">
        <v>30687.87</v>
      </c>
      <c r="G948" s="322">
        <f t="shared" si="32"/>
        <v>-3906.4799999999996</v>
      </c>
    </row>
    <row r="949" spans="1:7">
      <c r="A949" s="299">
        <v>6</v>
      </c>
      <c r="B949" s="672">
        <v>350200200000000</v>
      </c>
      <c r="C949" s="300" t="s">
        <v>997</v>
      </c>
      <c r="D949" s="311"/>
      <c r="E949" s="322">
        <v>31187.05</v>
      </c>
      <c r="F949" s="322">
        <v>38837.74</v>
      </c>
      <c r="G949" s="322">
        <f t="shared" si="32"/>
        <v>-7650.6899999999987</v>
      </c>
    </row>
    <row r="950" spans="1:7">
      <c r="A950" s="299">
        <v>6</v>
      </c>
      <c r="B950" s="672">
        <v>350200300000000</v>
      </c>
      <c r="C950" s="300" t="s">
        <v>998</v>
      </c>
      <c r="D950" s="311"/>
      <c r="E950" s="322">
        <v>23697.95</v>
      </c>
      <c r="F950" s="322">
        <v>39015.300000000003</v>
      </c>
      <c r="G950" s="322">
        <f t="shared" si="32"/>
        <v>-15317.350000000002</v>
      </c>
    </row>
    <row r="951" spans="1:7">
      <c r="A951" s="299">
        <v>6</v>
      </c>
      <c r="B951" s="672">
        <v>350200400000000</v>
      </c>
      <c r="C951" s="300" t="s">
        <v>999</v>
      </c>
      <c r="D951" s="311"/>
      <c r="E951" s="322">
        <v>2013.65</v>
      </c>
      <c r="F951" s="322">
        <v>2013.65</v>
      </c>
      <c r="G951" s="322">
        <f t="shared" si="32"/>
        <v>0</v>
      </c>
    </row>
    <row r="952" spans="1:7">
      <c r="A952" s="299">
        <v>6</v>
      </c>
      <c r="B952" s="672">
        <v>350200500000000</v>
      </c>
      <c r="C952" s="300" t="s">
        <v>1000</v>
      </c>
      <c r="D952" s="311"/>
      <c r="E952" s="322">
        <v>77676.33</v>
      </c>
      <c r="F952" s="322">
        <v>93634.4</v>
      </c>
      <c r="G952" s="322">
        <f t="shared" si="32"/>
        <v>-15958.069999999992</v>
      </c>
    </row>
    <row r="953" spans="1:7">
      <c r="A953" s="309" t="s">
        <v>1944</v>
      </c>
      <c r="B953" s="673" t="s">
        <v>1001</v>
      </c>
      <c r="C953" s="296" t="s">
        <v>1651</v>
      </c>
      <c r="D953" s="310"/>
      <c r="E953" s="319"/>
      <c r="F953" s="319"/>
      <c r="G953" s="319">
        <f t="shared" si="32"/>
        <v>0</v>
      </c>
    </row>
    <row r="954" spans="1:7" ht="25.5">
      <c r="A954" s="309" t="s">
        <v>1946</v>
      </c>
      <c r="B954" s="673" t="s">
        <v>1002</v>
      </c>
      <c r="C954" s="296" t="s">
        <v>1652</v>
      </c>
      <c r="D954" s="310"/>
      <c r="E954" s="319"/>
      <c r="F954" s="319"/>
      <c r="G954" s="319">
        <f t="shared" si="32"/>
        <v>0</v>
      </c>
    </row>
    <row r="955" spans="1:7">
      <c r="A955" s="303">
        <v>5</v>
      </c>
      <c r="B955" s="675">
        <v>3551001000000</v>
      </c>
      <c r="C955" s="304" t="s">
        <v>1003</v>
      </c>
      <c r="D955" s="315"/>
      <c r="E955" s="326"/>
      <c r="F955" s="326"/>
      <c r="G955" s="326">
        <f t="shared" si="32"/>
        <v>0</v>
      </c>
    </row>
    <row r="956" spans="1:7">
      <c r="A956" s="299">
        <v>6</v>
      </c>
      <c r="B956" s="672">
        <v>355100100100000</v>
      </c>
      <c r="C956" s="300" t="s">
        <v>1004</v>
      </c>
      <c r="D956" s="311"/>
      <c r="E956" s="322"/>
      <c r="F956" s="322"/>
      <c r="G956" s="322">
        <f t="shared" si="32"/>
        <v>0</v>
      </c>
    </row>
    <row r="957" spans="1:7">
      <c r="A957" s="299">
        <v>6</v>
      </c>
      <c r="B957" s="672">
        <v>355100100200000</v>
      </c>
      <c r="C957" s="300" t="s">
        <v>1005</v>
      </c>
      <c r="D957" s="311"/>
      <c r="E957" s="322"/>
      <c r="F957" s="322"/>
      <c r="G957" s="322">
        <f t="shared" si="32"/>
        <v>0</v>
      </c>
    </row>
    <row r="958" spans="1:7" ht="24">
      <c r="A958" s="299">
        <v>6</v>
      </c>
      <c r="B958" s="672">
        <v>355100100300000</v>
      </c>
      <c r="C958" s="300" t="s">
        <v>1006</v>
      </c>
      <c r="D958" s="311"/>
      <c r="E958" s="322"/>
      <c r="F958" s="322"/>
      <c r="G958" s="322">
        <f t="shared" si="32"/>
        <v>0</v>
      </c>
    </row>
    <row r="959" spans="1:7">
      <c r="A959" s="299">
        <v>6</v>
      </c>
      <c r="B959" s="672">
        <v>355100100400000</v>
      </c>
      <c r="C959" s="300" t="s">
        <v>1007</v>
      </c>
      <c r="D959" s="311"/>
      <c r="E959" s="322"/>
      <c r="F959" s="322"/>
      <c r="G959" s="322">
        <f t="shared" si="32"/>
        <v>0</v>
      </c>
    </row>
    <row r="960" spans="1:7">
      <c r="A960" s="303">
        <v>5</v>
      </c>
      <c r="B960" s="675">
        <v>3551002000000</v>
      </c>
      <c r="C960" s="304" t="s">
        <v>1008</v>
      </c>
      <c r="D960" s="315"/>
      <c r="E960" s="326"/>
      <c r="F960" s="326"/>
      <c r="G960" s="326">
        <f t="shared" si="32"/>
        <v>0</v>
      </c>
    </row>
    <row r="961" spans="1:7">
      <c r="A961" s="299">
        <v>6</v>
      </c>
      <c r="B961" s="672">
        <v>355100200100000</v>
      </c>
      <c r="C961" s="300" t="s">
        <v>1009</v>
      </c>
      <c r="D961" s="311"/>
      <c r="E961" s="322"/>
      <c r="F961" s="322"/>
      <c r="G961" s="322">
        <f t="shared" si="32"/>
        <v>0</v>
      </c>
    </row>
    <row r="962" spans="1:7">
      <c r="A962" s="299">
        <v>6</v>
      </c>
      <c r="B962" s="672">
        <v>355100200150000</v>
      </c>
      <c r="C962" s="300" t="s">
        <v>1010</v>
      </c>
      <c r="D962" s="311"/>
      <c r="E962" s="322"/>
      <c r="F962" s="322"/>
      <c r="G962" s="322">
        <f t="shared" si="32"/>
        <v>0</v>
      </c>
    </row>
    <row r="963" spans="1:7">
      <c r="A963" s="299">
        <v>6</v>
      </c>
      <c r="B963" s="672">
        <v>355100200200000</v>
      </c>
      <c r="C963" s="300" t="s">
        <v>1011</v>
      </c>
      <c r="D963" s="311"/>
      <c r="E963" s="322"/>
      <c r="F963" s="322"/>
      <c r="G963" s="322">
        <f t="shared" si="32"/>
        <v>0</v>
      </c>
    </row>
    <row r="964" spans="1:7">
      <c r="A964" s="299">
        <v>6</v>
      </c>
      <c r="B964" s="672">
        <v>355100200250000</v>
      </c>
      <c r="C964" s="300" t="s">
        <v>1012</v>
      </c>
      <c r="D964" s="311"/>
      <c r="E964" s="322"/>
      <c r="F964" s="322"/>
      <c r="G964" s="322">
        <f t="shared" si="32"/>
        <v>0</v>
      </c>
    </row>
    <row r="965" spans="1:7">
      <c r="A965" s="299">
        <v>6</v>
      </c>
      <c r="B965" s="672">
        <v>355100200300000</v>
      </c>
      <c r="C965" s="300" t="s">
        <v>1013</v>
      </c>
      <c r="D965" s="311"/>
      <c r="E965" s="322"/>
      <c r="F965" s="322"/>
      <c r="G965" s="322">
        <f t="shared" si="32"/>
        <v>0</v>
      </c>
    </row>
    <row r="966" spans="1:7">
      <c r="A966" s="299">
        <v>6</v>
      </c>
      <c r="B966" s="672">
        <v>355100200350000</v>
      </c>
      <c r="C966" s="300" t="s">
        <v>1014</v>
      </c>
      <c r="D966" s="311"/>
      <c r="E966" s="322"/>
      <c r="F966" s="322"/>
      <c r="G966" s="322">
        <f t="shared" si="32"/>
        <v>0</v>
      </c>
    </row>
    <row r="967" spans="1:7">
      <c r="A967" s="299">
        <v>6</v>
      </c>
      <c r="B967" s="672">
        <v>355100200400000</v>
      </c>
      <c r="C967" s="300" t="s">
        <v>1015</v>
      </c>
      <c r="D967" s="311"/>
      <c r="E967" s="322"/>
      <c r="F967" s="322"/>
      <c r="G967" s="322">
        <f t="shared" si="32"/>
        <v>0</v>
      </c>
    </row>
    <row r="968" spans="1:7">
      <c r="A968" s="299">
        <v>6</v>
      </c>
      <c r="B968" s="672">
        <v>355100200450000</v>
      </c>
      <c r="C968" s="300" t="s">
        <v>2542</v>
      </c>
      <c r="D968" s="311"/>
      <c r="E968" s="322"/>
      <c r="F968" s="322"/>
      <c r="G968" s="322">
        <f t="shared" si="32"/>
        <v>0</v>
      </c>
    </row>
    <row r="969" spans="1:7">
      <c r="A969" s="299">
        <v>6</v>
      </c>
      <c r="B969" s="672">
        <v>355100200500000</v>
      </c>
      <c r="C969" s="300" t="s">
        <v>1016</v>
      </c>
      <c r="D969" s="311"/>
      <c r="E969" s="322"/>
      <c r="F969" s="322"/>
      <c r="G969" s="322">
        <f t="shared" si="32"/>
        <v>0</v>
      </c>
    </row>
    <row r="970" spans="1:7">
      <c r="A970" s="299">
        <v>6</v>
      </c>
      <c r="B970" s="672">
        <v>355100200550000</v>
      </c>
      <c r="C970" s="300" t="s">
        <v>1017</v>
      </c>
      <c r="D970" s="311"/>
      <c r="E970" s="322"/>
      <c r="F970" s="322"/>
      <c r="G970" s="322">
        <f t="shared" si="32"/>
        <v>0</v>
      </c>
    </row>
    <row r="971" spans="1:7">
      <c r="A971" s="309" t="s">
        <v>1946</v>
      </c>
      <c r="B971" s="673" t="s">
        <v>1018</v>
      </c>
      <c r="C971" s="296" t="s">
        <v>1653</v>
      </c>
      <c r="D971" s="310"/>
      <c r="E971" s="319"/>
      <c r="F971" s="319"/>
      <c r="G971" s="319">
        <f t="shared" si="32"/>
        <v>0</v>
      </c>
    </row>
    <row r="972" spans="1:7">
      <c r="A972" s="299">
        <v>5</v>
      </c>
      <c r="B972" s="672">
        <v>355200100000000</v>
      </c>
      <c r="C972" s="300" t="s">
        <v>1019</v>
      </c>
      <c r="D972" s="311"/>
      <c r="E972" s="322"/>
      <c r="F972" s="322"/>
      <c r="G972" s="322">
        <f t="shared" si="32"/>
        <v>0</v>
      </c>
    </row>
    <row r="973" spans="1:7">
      <c r="A973" s="299">
        <v>5</v>
      </c>
      <c r="B973" s="672">
        <v>355200101000000</v>
      </c>
      <c r="C973" s="300" t="s">
        <v>1020</v>
      </c>
      <c r="D973" s="311"/>
      <c r="E973" s="322"/>
      <c r="F973" s="322"/>
      <c r="G973" s="322">
        <f t="shared" si="32"/>
        <v>0</v>
      </c>
    </row>
    <row r="974" spans="1:7">
      <c r="A974" s="299">
        <v>5</v>
      </c>
      <c r="B974" s="672">
        <v>355200102000000</v>
      </c>
      <c r="C974" s="300" t="s">
        <v>1021</v>
      </c>
      <c r="D974" s="311"/>
      <c r="E974" s="322"/>
      <c r="F974" s="322"/>
      <c r="G974" s="322">
        <f t="shared" si="32"/>
        <v>0</v>
      </c>
    </row>
    <row r="975" spans="1:7">
      <c r="A975" s="299">
        <v>5</v>
      </c>
      <c r="B975" s="672">
        <v>355200103000000</v>
      </c>
      <c r="C975" s="300" t="s">
        <v>1022</v>
      </c>
      <c r="D975" s="311"/>
      <c r="E975" s="322"/>
      <c r="F975" s="322"/>
      <c r="G975" s="322">
        <f t="shared" si="32"/>
        <v>0</v>
      </c>
    </row>
    <row r="976" spans="1:7" ht="24">
      <c r="A976" s="299">
        <v>5</v>
      </c>
      <c r="B976" s="672">
        <v>355200200000000</v>
      </c>
      <c r="C976" s="300" t="s">
        <v>1023</v>
      </c>
      <c r="D976" s="311"/>
      <c r="E976" s="322"/>
      <c r="F976" s="322"/>
      <c r="G976" s="322">
        <f t="shared" si="32"/>
        <v>0</v>
      </c>
    </row>
    <row r="977" spans="1:7">
      <c r="A977" s="299">
        <v>5</v>
      </c>
      <c r="B977" s="672">
        <v>355200201000000</v>
      </c>
      <c r="C977" s="300" t="s">
        <v>1024</v>
      </c>
      <c r="D977" s="311"/>
      <c r="E977" s="322"/>
      <c r="F977" s="322"/>
      <c r="G977" s="322">
        <f t="shared" si="32"/>
        <v>0</v>
      </c>
    </row>
    <row r="978" spans="1:7">
      <c r="A978" s="299">
        <v>5</v>
      </c>
      <c r="B978" s="672">
        <v>355200202000000</v>
      </c>
      <c r="C978" s="300" t="s">
        <v>1025</v>
      </c>
      <c r="D978" s="311"/>
      <c r="E978" s="322"/>
      <c r="F978" s="322"/>
      <c r="G978" s="322">
        <f t="shared" si="32"/>
        <v>0</v>
      </c>
    </row>
    <row r="979" spans="1:7">
      <c r="A979" s="299">
        <v>5</v>
      </c>
      <c r="B979" s="672">
        <v>355200203000000</v>
      </c>
      <c r="C979" s="300" t="s">
        <v>1026</v>
      </c>
      <c r="D979" s="311"/>
      <c r="E979" s="322"/>
      <c r="F979" s="322"/>
      <c r="G979" s="322">
        <f t="shared" si="32"/>
        <v>0</v>
      </c>
    </row>
    <row r="980" spans="1:7" ht="24">
      <c r="A980" s="299">
        <v>5</v>
      </c>
      <c r="B980" s="672">
        <v>355200204000000</v>
      </c>
      <c r="C980" s="300" t="s">
        <v>1027</v>
      </c>
      <c r="D980" s="311"/>
      <c r="E980" s="322"/>
      <c r="F980" s="322"/>
      <c r="G980" s="322">
        <f t="shared" si="32"/>
        <v>0</v>
      </c>
    </row>
    <row r="981" spans="1:7" ht="24">
      <c r="A981" s="299">
        <v>5</v>
      </c>
      <c r="B981" s="672">
        <v>355200205000000</v>
      </c>
      <c r="C981" s="300" t="s">
        <v>1028</v>
      </c>
      <c r="D981" s="311"/>
      <c r="E981" s="322"/>
      <c r="F981" s="322"/>
      <c r="G981" s="322">
        <f t="shared" si="32"/>
        <v>0</v>
      </c>
    </row>
    <row r="982" spans="1:7">
      <c r="A982" s="299">
        <v>5</v>
      </c>
      <c r="B982" s="672">
        <v>355200206000000</v>
      </c>
      <c r="C982" s="300" t="s">
        <v>1029</v>
      </c>
      <c r="D982" s="311"/>
      <c r="E982" s="322"/>
      <c r="F982" s="322"/>
      <c r="G982" s="322">
        <f t="shared" si="32"/>
        <v>0</v>
      </c>
    </row>
    <row r="983" spans="1:7" ht="24">
      <c r="A983" s="299">
        <v>5</v>
      </c>
      <c r="B983" s="672">
        <v>355200207000000</v>
      </c>
      <c r="C983" s="300" t="s">
        <v>1030</v>
      </c>
      <c r="D983" s="311"/>
      <c r="E983" s="322"/>
      <c r="F983" s="322"/>
      <c r="G983" s="322">
        <f t="shared" si="32"/>
        <v>0</v>
      </c>
    </row>
    <row r="984" spans="1:7" ht="24">
      <c r="A984" s="299">
        <v>5</v>
      </c>
      <c r="B984" s="672">
        <v>355200208000000</v>
      </c>
      <c r="C984" s="300" t="s">
        <v>1031</v>
      </c>
      <c r="D984" s="311"/>
      <c r="E984" s="322"/>
      <c r="F984" s="322"/>
      <c r="G984" s="322">
        <f t="shared" si="32"/>
        <v>0</v>
      </c>
    </row>
    <row r="985" spans="1:7" ht="24">
      <c r="A985" s="299">
        <v>5</v>
      </c>
      <c r="B985" s="672">
        <v>355200209000000</v>
      </c>
      <c r="C985" s="300" t="s">
        <v>1032</v>
      </c>
      <c r="D985" s="311"/>
      <c r="E985" s="322"/>
      <c r="F985" s="322"/>
      <c r="G985" s="322">
        <f t="shared" si="32"/>
        <v>0</v>
      </c>
    </row>
    <row r="986" spans="1:7" ht="24">
      <c r="A986" s="299">
        <v>5</v>
      </c>
      <c r="B986" s="672">
        <v>355200210000000</v>
      </c>
      <c r="C986" s="300" t="s">
        <v>2543</v>
      </c>
      <c r="D986" s="311"/>
      <c r="E986" s="322"/>
      <c r="F986" s="322"/>
      <c r="G986" s="322">
        <f t="shared" si="32"/>
        <v>0</v>
      </c>
    </row>
    <row r="987" spans="1:7" ht="24">
      <c r="A987" s="299">
        <v>5</v>
      </c>
      <c r="B987" s="672">
        <v>355200211000000</v>
      </c>
      <c r="C987" s="300" t="s">
        <v>1033</v>
      </c>
      <c r="D987" s="311"/>
      <c r="E987" s="322"/>
      <c r="F987" s="322"/>
      <c r="G987" s="322">
        <f t="shared" si="32"/>
        <v>0</v>
      </c>
    </row>
    <row r="988" spans="1:7">
      <c r="A988" s="299">
        <v>5</v>
      </c>
      <c r="B988" s="672">
        <v>355200300000000</v>
      </c>
      <c r="C988" s="300" t="s">
        <v>1034</v>
      </c>
      <c r="D988" s="311"/>
      <c r="E988" s="322"/>
      <c r="F988" s="322"/>
      <c r="G988" s="322">
        <f t="shared" si="32"/>
        <v>0</v>
      </c>
    </row>
    <row r="989" spans="1:7" ht="24">
      <c r="A989" s="299">
        <v>5</v>
      </c>
      <c r="B989" s="672">
        <v>355200400000000</v>
      </c>
      <c r="C989" s="300" t="s">
        <v>1035</v>
      </c>
      <c r="D989" s="311"/>
      <c r="E989" s="322"/>
      <c r="F989" s="322"/>
      <c r="G989" s="322">
        <f t="shared" si="32"/>
        <v>0</v>
      </c>
    </row>
    <row r="990" spans="1:7" ht="24">
      <c r="A990" s="299">
        <v>5</v>
      </c>
      <c r="B990" s="672">
        <v>355200401000000</v>
      </c>
      <c r="C990" s="300" t="s">
        <v>1036</v>
      </c>
      <c r="D990" s="311"/>
      <c r="E990" s="322"/>
      <c r="F990" s="322"/>
      <c r="G990" s="322">
        <f t="shared" si="32"/>
        <v>0</v>
      </c>
    </row>
    <row r="991" spans="1:7" ht="24">
      <c r="A991" s="299">
        <v>5</v>
      </c>
      <c r="B991" s="672">
        <v>355200402000000</v>
      </c>
      <c r="C991" s="300" t="s">
        <v>1037</v>
      </c>
      <c r="D991" s="311"/>
      <c r="E991" s="322"/>
      <c r="F991" s="322"/>
      <c r="G991" s="322">
        <f t="shared" si="32"/>
        <v>0</v>
      </c>
    </row>
    <row r="992" spans="1:7" ht="24">
      <c r="A992" s="299">
        <v>5</v>
      </c>
      <c r="B992" s="672">
        <v>355200403000000</v>
      </c>
      <c r="C992" s="300" t="s">
        <v>1038</v>
      </c>
      <c r="D992" s="311"/>
      <c r="E992" s="322"/>
      <c r="F992" s="322"/>
      <c r="G992" s="322">
        <f t="shared" si="32"/>
        <v>0</v>
      </c>
    </row>
    <row r="993" spans="1:7" ht="24">
      <c r="A993" s="299">
        <v>5</v>
      </c>
      <c r="B993" s="672">
        <v>355200404000000</v>
      </c>
      <c r="C993" s="300" t="s">
        <v>1039</v>
      </c>
      <c r="D993" s="311"/>
      <c r="E993" s="322"/>
      <c r="F993" s="322"/>
      <c r="G993" s="322">
        <f t="shared" si="32"/>
        <v>0</v>
      </c>
    </row>
    <row r="994" spans="1:7" ht="24">
      <c r="A994" s="299">
        <v>5</v>
      </c>
      <c r="B994" s="672">
        <v>355200405000000</v>
      </c>
      <c r="C994" s="300" t="s">
        <v>1040</v>
      </c>
      <c r="D994" s="311"/>
      <c r="E994" s="322"/>
      <c r="F994" s="322"/>
      <c r="G994" s="322">
        <f t="shared" ref="G994:G1057" si="33">E994-F994</f>
        <v>0</v>
      </c>
    </row>
    <row r="995" spans="1:7" ht="24">
      <c r="A995" s="299">
        <v>5</v>
      </c>
      <c r="B995" s="672">
        <v>355200406000000</v>
      </c>
      <c r="C995" s="300" t="s">
        <v>1041</v>
      </c>
      <c r="D995" s="311"/>
      <c r="E995" s="322"/>
      <c r="F995" s="322"/>
      <c r="G995" s="322">
        <f t="shared" si="33"/>
        <v>0</v>
      </c>
    </row>
    <row r="996" spans="1:7" ht="24">
      <c r="A996" s="299">
        <v>5</v>
      </c>
      <c r="B996" s="672">
        <v>355200407000000</v>
      </c>
      <c r="C996" s="300" t="s">
        <v>1042</v>
      </c>
      <c r="D996" s="311"/>
      <c r="E996" s="322"/>
      <c r="F996" s="322"/>
      <c r="G996" s="322">
        <f t="shared" si="33"/>
        <v>0</v>
      </c>
    </row>
    <row r="997" spans="1:7" ht="24">
      <c r="A997" s="299">
        <v>5</v>
      </c>
      <c r="B997" s="672">
        <v>355200408000000</v>
      </c>
      <c r="C997" s="300" t="s">
        <v>1043</v>
      </c>
      <c r="D997" s="311"/>
      <c r="E997" s="322"/>
      <c r="F997" s="322"/>
      <c r="G997" s="322">
        <f t="shared" si="33"/>
        <v>0</v>
      </c>
    </row>
    <row r="998" spans="1:7" ht="24">
      <c r="A998" s="299">
        <v>5</v>
      </c>
      <c r="B998" s="672">
        <v>355200409000000</v>
      </c>
      <c r="C998" s="300" t="s">
        <v>1044</v>
      </c>
      <c r="D998" s="311"/>
      <c r="E998" s="322"/>
      <c r="F998" s="322"/>
      <c r="G998" s="322">
        <f t="shared" si="33"/>
        <v>0</v>
      </c>
    </row>
    <row r="999" spans="1:7" ht="24">
      <c r="A999" s="299">
        <v>5</v>
      </c>
      <c r="B999" s="672">
        <v>355200410000000</v>
      </c>
      <c r="C999" s="300" t="s">
        <v>1045</v>
      </c>
      <c r="D999" s="311"/>
      <c r="E999" s="322"/>
      <c r="F999" s="322"/>
      <c r="G999" s="322">
        <f t="shared" si="33"/>
        <v>0</v>
      </c>
    </row>
    <row r="1000" spans="1:7" ht="24">
      <c r="A1000" s="299">
        <v>5</v>
      </c>
      <c r="B1000" s="672">
        <v>355200411000000</v>
      </c>
      <c r="C1000" s="300" t="s">
        <v>1046</v>
      </c>
      <c r="D1000" s="311"/>
      <c r="E1000" s="322"/>
      <c r="F1000" s="322"/>
      <c r="G1000" s="322">
        <f t="shared" si="33"/>
        <v>0</v>
      </c>
    </row>
    <row r="1001" spans="1:7" ht="24">
      <c r="A1001" s="299">
        <v>5</v>
      </c>
      <c r="B1001" s="672">
        <v>355200412000000</v>
      </c>
      <c r="C1001" s="300" t="s">
        <v>1047</v>
      </c>
      <c r="D1001" s="311"/>
      <c r="E1001" s="322"/>
      <c r="F1001" s="322"/>
      <c r="G1001" s="322">
        <f t="shared" si="33"/>
        <v>0</v>
      </c>
    </row>
    <row r="1002" spans="1:7" ht="24">
      <c r="A1002" s="299">
        <v>5</v>
      </c>
      <c r="B1002" s="672">
        <v>355200413000000</v>
      </c>
      <c r="C1002" s="300" t="s">
        <v>1048</v>
      </c>
      <c r="D1002" s="311"/>
      <c r="E1002" s="322"/>
      <c r="F1002" s="322"/>
      <c r="G1002" s="322">
        <f t="shared" si="33"/>
        <v>0</v>
      </c>
    </row>
    <row r="1003" spans="1:7" ht="24">
      <c r="A1003" s="299">
        <v>5</v>
      </c>
      <c r="B1003" s="672">
        <v>355200414000000</v>
      </c>
      <c r="C1003" s="300" t="s">
        <v>1049</v>
      </c>
      <c r="D1003" s="311"/>
      <c r="E1003" s="322"/>
      <c r="F1003" s="322"/>
      <c r="G1003" s="322">
        <f t="shared" si="33"/>
        <v>0</v>
      </c>
    </row>
    <row r="1004" spans="1:7">
      <c r="A1004" s="299">
        <v>5</v>
      </c>
      <c r="B1004" s="672">
        <v>355200415000000</v>
      </c>
      <c r="C1004" s="300" t="s">
        <v>1050</v>
      </c>
      <c r="D1004" s="311"/>
      <c r="E1004" s="322"/>
      <c r="F1004" s="322"/>
      <c r="G1004" s="322">
        <f t="shared" si="33"/>
        <v>0</v>
      </c>
    </row>
    <row r="1005" spans="1:7" ht="24">
      <c r="A1005" s="299">
        <v>5</v>
      </c>
      <c r="B1005" s="672">
        <v>355200602000000</v>
      </c>
      <c r="C1005" s="300" t="s">
        <v>1051</v>
      </c>
      <c r="D1005" s="311"/>
      <c r="E1005" s="322"/>
      <c r="F1005" s="322"/>
      <c r="G1005" s="322">
        <f t="shared" si="33"/>
        <v>0</v>
      </c>
    </row>
    <row r="1006" spans="1:7">
      <c r="A1006" s="299">
        <v>5</v>
      </c>
      <c r="B1006" s="672">
        <v>355200603000000</v>
      </c>
      <c r="C1006" s="300" t="s">
        <v>1052</v>
      </c>
      <c r="D1006" s="311"/>
      <c r="E1006" s="322"/>
      <c r="F1006" s="322"/>
      <c r="G1006" s="322">
        <f t="shared" si="33"/>
        <v>0</v>
      </c>
    </row>
    <row r="1007" spans="1:7">
      <c r="A1007" s="299">
        <v>5</v>
      </c>
      <c r="B1007" s="672">
        <v>355200700000000</v>
      </c>
      <c r="C1007" s="300" t="s">
        <v>1053</v>
      </c>
      <c r="D1007" s="311"/>
      <c r="E1007" s="322"/>
      <c r="F1007" s="322"/>
      <c r="G1007" s="322">
        <f t="shared" si="33"/>
        <v>0</v>
      </c>
    </row>
    <row r="1008" spans="1:7">
      <c r="A1008" s="299">
        <v>5</v>
      </c>
      <c r="B1008" s="672">
        <v>355200701000000</v>
      </c>
      <c r="C1008" s="300" t="s">
        <v>1054</v>
      </c>
      <c r="D1008" s="311"/>
      <c r="E1008" s="322"/>
      <c r="F1008" s="322"/>
      <c r="G1008" s="322">
        <f t="shared" si="33"/>
        <v>0</v>
      </c>
    </row>
    <row r="1009" spans="1:9">
      <c r="A1009" s="299">
        <v>5</v>
      </c>
      <c r="B1009" s="672">
        <v>355200702000000</v>
      </c>
      <c r="C1009" s="300" t="s">
        <v>1055</v>
      </c>
      <c r="D1009" s="311"/>
      <c r="E1009" s="322"/>
      <c r="F1009" s="322"/>
      <c r="G1009" s="322">
        <f t="shared" si="33"/>
        <v>0</v>
      </c>
    </row>
    <row r="1010" spans="1:9">
      <c r="A1010" s="299">
        <v>5</v>
      </c>
      <c r="B1010" s="672">
        <v>355200900000000</v>
      </c>
      <c r="C1010" s="300" t="s">
        <v>1056</v>
      </c>
      <c r="D1010" s="311"/>
      <c r="E1010" s="322"/>
      <c r="F1010" s="322">
        <v>15310.59</v>
      </c>
      <c r="G1010" s="322">
        <f t="shared" si="33"/>
        <v>-15310.59</v>
      </c>
    </row>
    <row r="1011" spans="1:9">
      <c r="A1011" s="299">
        <v>5</v>
      </c>
      <c r="B1011" s="672">
        <v>355200901000000</v>
      </c>
      <c r="C1011" s="300" t="s">
        <v>1057</v>
      </c>
      <c r="D1011" s="311"/>
      <c r="E1011" s="322"/>
      <c r="F1011" s="322"/>
      <c r="G1011" s="322">
        <f t="shared" si="33"/>
        <v>0</v>
      </c>
    </row>
    <row r="1012" spans="1:9">
      <c r="A1012" s="299">
        <v>5</v>
      </c>
      <c r="B1012" s="672">
        <v>355200902000000</v>
      </c>
      <c r="C1012" s="300" t="s">
        <v>1058</v>
      </c>
      <c r="D1012" s="311"/>
      <c r="E1012" s="322"/>
      <c r="F1012" s="322"/>
      <c r="G1012" s="322">
        <f t="shared" si="33"/>
        <v>0</v>
      </c>
    </row>
    <row r="1013" spans="1:9">
      <c r="A1013" s="299">
        <v>5</v>
      </c>
      <c r="B1013" s="672">
        <v>355200903000000</v>
      </c>
      <c r="C1013" s="300" t="s">
        <v>1059</v>
      </c>
      <c r="D1013" s="311"/>
      <c r="E1013" s="322"/>
      <c r="F1013" s="322"/>
      <c r="G1013" s="322">
        <f t="shared" si="33"/>
        <v>0</v>
      </c>
    </row>
    <row r="1014" spans="1:9">
      <c r="A1014" s="299">
        <v>5</v>
      </c>
      <c r="B1014" s="672">
        <v>355200990000000</v>
      </c>
      <c r="C1014" s="300" t="s">
        <v>1060</v>
      </c>
      <c r="D1014" s="311"/>
      <c r="E1014" s="322"/>
      <c r="F1014" s="322">
        <v>16327.76</v>
      </c>
      <c r="G1014" s="322">
        <f t="shared" si="33"/>
        <v>-16327.76</v>
      </c>
    </row>
    <row r="1015" spans="1:9">
      <c r="A1015" s="309" t="s">
        <v>1944</v>
      </c>
      <c r="B1015" s="673" t="s">
        <v>1061</v>
      </c>
      <c r="C1015" s="296" t="s">
        <v>1654</v>
      </c>
      <c r="D1015" s="310"/>
      <c r="E1015" s="319"/>
      <c r="F1015" s="319"/>
      <c r="G1015" s="319">
        <f t="shared" si="33"/>
        <v>0</v>
      </c>
    </row>
    <row r="1016" spans="1:9">
      <c r="A1016" s="309" t="s">
        <v>1946</v>
      </c>
      <c r="B1016" s="673" t="s">
        <v>1062</v>
      </c>
      <c r="C1016" s="296" t="s">
        <v>1655</v>
      </c>
      <c r="D1016" s="310"/>
      <c r="E1016" s="319"/>
      <c r="F1016" s="319"/>
      <c r="G1016" s="319">
        <f t="shared" si="33"/>
        <v>0</v>
      </c>
    </row>
    <row r="1017" spans="1:9">
      <c r="A1017" s="309" t="s">
        <v>1948</v>
      </c>
      <c r="B1017" s="673" t="s">
        <v>1063</v>
      </c>
      <c r="C1017" s="296" t="s">
        <v>1656</v>
      </c>
      <c r="D1017" s="310"/>
      <c r="E1017" s="319"/>
      <c r="F1017" s="319"/>
      <c r="G1017" s="319">
        <f t="shared" si="33"/>
        <v>0</v>
      </c>
    </row>
    <row r="1018" spans="1:9">
      <c r="A1018" s="299" t="s">
        <v>1950</v>
      </c>
      <c r="B1018" s="672">
        <v>360100010000000</v>
      </c>
      <c r="C1018" s="300" t="s">
        <v>2544</v>
      </c>
      <c r="D1018" s="311"/>
      <c r="E1018" s="322">
        <v>-10893715.439999999</v>
      </c>
      <c r="F1018" s="322">
        <v>7166264.3300000001</v>
      </c>
      <c r="G1018" s="322">
        <f t="shared" si="33"/>
        <v>-18059979.77</v>
      </c>
      <c r="I1018" s="671"/>
    </row>
    <row r="1019" spans="1:9">
      <c r="A1019" s="309" t="s">
        <v>1948</v>
      </c>
      <c r="B1019" s="673" t="s">
        <v>1064</v>
      </c>
      <c r="C1019" s="296" t="s">
        <v>1657</v>
      </c>
      <c r="D1019" s="310"/>
      <c r="E1019" s="319"/>
      <c r="F1019" s="319"/>
      <c r="G1019" s="319">
        <f t="shared" si="33"/>
        <v>0</v>
      </c>
    </row>
    <row r="1020" spans="1:9">
      <c r="A1020" s="299" t="s">
        <v>1950</v>
      </c>
      <c r="B1020" s="672">
        <v>360100020000000</v>
      </c>
      <c r="C1020" s="300" t="s">
        <v>2545</v>
      </c>
      <c r="D1020" s="311"/>
      <c r="E1020" s="322"/>
      <c r="F1020" s="322"/>
      <c r="G1020" s="322">
        <f t="shared" si="33"/>
        <v>0</v>
      </c>
    </row>
    <row r="1021" spans="1:9">
      <c r="A1021" s="309" t="s">
        <v>1948</v>
      </c>
      <c r="B1021" s="673" t="s">
        <v>1065</v>
      </c>
      <c r="C1021" s="296" t="s">
        <v>1658</v>
      </c>
      <c r="D1021" s="310"/>
      <c r="E1021" s="319"/>
      <c r="F1021" s="319"/>
      <c r="G1021" s="319">
        <f t="shared" si="33"/>
        <v>0</v>
      </c>
    </row>
    <row r="1022" spans="1:9">
      <c r="A1022" s="299" t="s">
        <v>1950</v>
      </c>
      <c r="B1022" s="672">
        <v>360100030000000</v>
      </c>
      <c r="C1022" s="300" t="s">
        <v>2546</v>
      </c>
      <c r="D1022" s="311"/>
      <c r="E1022" s="322">
        <v>-1995933.73</v>
      </c>
      <c r="F1022" s="322">
        <v>600683.04</v>
      </c>
      <c r="G1022" s="322">
        <f t="shared" si="33"/>
        <v>-2596616.77</v>
      </c>
    </row>
    <row r="1023" spans="1:9">
      <c r="A1023" s="309" t="s">
        <v>1948</v>
      </c>
      <c r="B1023" s="673" t="s">
        <v>1066</v>
      </c>
      <c r="C1023" s="296" t="s">
        <v>1659</v>
      </c>
      <c r="D1023" s="310"/>
      <c r="E1023" s="319"/>
      <c r="F1023" s="319"/>
      <c r="G1023" s="319">
        <f t="shared" si="33"/>
        <v>0</v>
      </c>
    </row>
    <row r="1024" spans="1:9">
      <c r="A1024" s="299" t="s">
        <v>1950</v>
      </c>
      <c r="B1024" s="672">
        <v>360100040000000</v>
      </c>
      <c r="C1024" s="300" t="s">
        <v>2547</v>
      </c>
      <c r="D1024" s="311"/>
      <c r="E1024" s="322">
        <v>-103481</v>
      </c>
      <c r="F1024" s="322">
        <v>103303.67999999999</v>
      </c>
      <c r="G1024" s="322">
        <f t="shared" si="33"/>
        <v>-206784.68</v>
      </c>
    </row>
    <row r="1025" spans="1:7">
      <c r="A1025" s="309" t="s">
        <v>1948</v>
      </c>
      <c r="B1025" s="673" t="s">
        <v>1067</v>
      </c>
      <c r="C1025" s="296" t="s">
        <v>1660</v>
      </c>
      <c r="D1025" s="310"/>
      <c r="E1025" s="319"/>
      <c r="F1025" s="319"/>
      <c r="G1025" s="319">
        <f t="shared" si="33"/>
        <v>0</v>
      </c>
    </row>
    <row r="1026" spans="1:7">
      <c r="A1026" s="299" t="s">
        <v>1950</v>
      </c>
      <c r="B1026" s="672">
        <v>360100050000000</v>
      </c>
      <c r="C1026" s="300" t="s">
        <v>2548</v>
      </c>
      <c r="D1026" s="311"/>
      <c r="E1026" s="322">
        <v>-61261.68</v>
      </c>
      <c r="F1026" s="322">
        <v>1430621.49</v>
      </c>
      <c r="G1026" s="322">
        <f t="shared" si="33"/>
        <v>-1491883.17</v>
      </c>
    </row>
    <row r="1027" spans="1:7">
      <c r="A1027" s="309" t="s">
        <v>1948</v>
      </c>
      <c r="B1027" s="673" t="s">
        <v>1068</v>
      </c>
      <c r="C1027" s="296" t="s">
        <v>1661</v>
      </c>
      <c r="D1027" s="310"/>
      <c r="E1027" s="319"/>
      <c r="F1027" s="319"/>
      <c r="G1027" s="319">
        <f t="shared" si="33"/>
        <v>0</v>
      </c>
    </row>
    <row r="1028" spans="1:7">
      <c r="A1028" s="299" t="s">
        <v>1950</v>
      </c>
      <c r="B1028" s="672">
        <v>360100060000000</v>
      </c>
      <c r="C1028" s="300" t="s">
        <v>2549</v>
      </c>
      <c r="D1028" s="311"/>
      <c r="E1028" s="322">
        <v>-10347.68</v>
      </c>
      <c r="F1028" s="322"/>
      <c r="G1028" s="322">
        <f t="shared" si="33"/>
        <v>-10347.68</v>
      </c>
    </row>
    <row r="1029" spans="1:7">
      <c r="A1029" s="309" t="s">
        <v>1948</v>
      </c>
      <c r="B1029" s="673" t="s">
        <v>1069</v>
      </c>
      <c r="C1029" s="296" t="s">
        <v>1662</v>
      </c>
      <c r="D1029" s="310"/>
      <c r="E1029" s="319"/>
      <c r="F1029" s="319"/>
      <c r="G1029" s="319">
        <f t="shared" si="33"/>
        <v>0</v>
      </c>
    </row>
    <row r="1030" spans="1:7">
      <c r="A1030" s="299" t="s">
        <v>1950</v>
      </c>
      <c r="B1030" s="672">
        <v>360100070000000</v>
      </c>
      <c r="C1030" s="300" t="s">
        <v>2550</v>
      </c>
      <c r="D1030" s="311"/>
      <c r="E1030" s="322">
        <v>-28708.95</v>
      </c>
      <c r="F1030" s="322">
        <v>4457.3599999999997</v>
      </c>
      <c r="G1030" s="322">
        <f t="shared" si="33"/>
        <v>-33166.31</v>
      </c>
    </row>
    <row r="1031" spans="1:7">
      <c r="A1031" s="309" t="s">
        <v>1948</v>
      </c>
      <c r="B1031" s="673" t="s">
        <v>1070</v>
      </c>
      <c r="C1031" s="296" t="s">
        <v>1663</v>
      </c>
      <c r="D1031" s="310"/>
      <c r="E1031" s="319"/>
      <c r="F1031" s="319"/>
      <c r="G1031" s="319">
        <f t="shared" si="33"/>
        <v>0</v>
      </c>
    </row>
    <row r="1032" spans="1:7">
      <c r="A1032" s="299" t="s">
        <v>1950</v>
      </c>
      <c r="B1032" s="672">
        <v>360100080000000</v>
      </c>
      <c r="C1032" s="300" t="s">
        <v>2551</v>
      </c>
      <c r="D1032" s="311"/>
      <c r="E1032" s="322">
        <v>317917.11</v>
      </c>
      <c r="F1032" s="322">
        <v>91676.78</v>
      </c>
      <c r="G1032" s="322">
        <f t="shared" si="33"/>
        <v>226240.33</v>
      </c>
    </row>
    <row r="1033" spans="1:7">
      <c r="A1033" s="309" t="s">
        <v>1946</v>
      </c>
      <c r="B1033" s="673" t="s">
        <v>1071</v>
      </c>
      <c r="C1033" s="296" t="s">
        <v>1664</v>
      </c>
      <c r="D1033" s="310"/>
      <c r="E1033" s="319"/>
      <c r="F1033" s="319"/>
      <c r="G1033" s="319">
        <f t="shared" si="33"/>
        <v>0</v>
      </c>
    </row>
    <row r="1034" spans="1:7">
      <c r="A1034" s="309" t="s">
        <v>1948</v>
      </c>
      <c r="B1034" s="673" t="s">
        <v>1072</v>
      </c>
      <c r="C1034" s="296" t="s">
        <v>1665</v>
      </c>
      <c r="D1034" s="310"/>
      <c r="E1034" s="319"/>
      <c r="F1034" s="319"/>
      <c r="G1034" s="319">
        <f t="shared" si="33"/>
        <v>0</v>
      </c>
    </row>
    <row r="1035" spans="1:7">
      <c r="A1035" s="299" t="s">
        <v>1950</v>
      </c>
      <c r="B1035" s="672">
        <v>360200010000000</v>
      </c>
      <c r="C1035" s="300" t="s">
        <v>2552</v>
      </c>
      <c r="D1035" s="311"/>
      <c r="E1035" s="322">
        <v>-224.46</v>
      </c>
      <c r="F1035" s="322">
        <v>1007.2</v>
      </c>
      <c r="G1035" s="322">
        <f t="shared" si="33"/>
        <v>-1231.6600000000001</v>
      </c>
    </row>
    <row r="1036" spans="1:7" ht="25.5">
      <c r="A1036" s="309" t="s">
        <v>1948</v>
      </c>
      <c r="B1036" s="673" t="s">
        <v>1073</v>
      </c>
      <c r="C1036" s="296" t="s">
        <v>1666</v>
      </c>
      <c r="D1036" s="310"/>
      <c r="E1036" s="319"/>
      <c r="F1036" s="319"/>
      <c r="G1036" s="319">
        <f t="shared" si="33"/>
        <v>0</v>
      </c>
    </row>
    <row r="1037" spans="1:7" ht="24">
      <c r="A1037" s="299" t="s">
        <v>1950</v>
      </c>
      <c r="B1037" s="672">
        <v>360200020000000</v>
      </c>
      <c r="C1037" s="300" t="s">
        <v>2553</v>
      </c>
      <c r="D1037" s="311"/>
      <c r="E1037" s="322">
        <v>411616.5</v>
      </c>
      <c r="F1037" s="322">
        <v>1976893.92</v>
      </c>
      <c r="G1037" s="322">
        <f t="shared" si="33"/>
        <v>-1565277.42</v>
      </c>
    </row>
    <row r="1038" spans="1:7">
      <c r="A1038" s="309" t="s">
        <v>1948</v>
      </c>
      <c r="B1038" s="673" t="s">
        <v>1074</v>
      </c>
      <c r="C1038" s="296" t="s">
        <v>1667</v>
      </c>
      <c r="D1038" s="310"/>
      <c r="E1038" s="319"/>
      <c r="F1038" s="319"/>
      <c r="G1038" s="319">
        <f t="shared" si="33"/>
        <v>0</v>
      </c>
    </row>
    <row r="1039" spans="1:7">
      <c r="A1039" s="299" t="s">
        <v>1950</v>
      </c>
      <c r="B1039" s="672">
        <v>360200030000000</v>
      </c>
      <c r="C1039" s="300" t="s">
        <v>2554</v>
      </c>
      <c r="D1039" s="311"/>
      <c r="E1039" s="322"/>
      <c r="F1039" s="322"/>
      <c r="G1039" s="322">
        <f t="shared" si="33"/>
        <v>0</v>
      </c>
    </row>
    <row r="1040" spans="1:7">
      <c r="A1040" s="309" t="s">
        <v>1948</v>
      </c>
      <c r="B1040" s="673" t="s">
        <v>1075</v>
      </c>
      <c r="C1040" s="296" t="s">
        <v>1668</v>
      </c>
      <c r="D1040" s="310"/>
      <c r="E1040" s="319"/>
      <c r="F1040" s="319"/>
      <c r="G1040" s="319">
        <f t="shared" si="33"/>
        <v>0</v>
      </c>
    </row>
    <row r="1041" spans="1:7">
      <c r="A1041" s="299" t="s">
        <v>1950</v>
      </c>
      <c r="B1041" s="672">
        <v>360200040000000</v>
      </c>
      <c r="C1041" s="300" t="s">
        <v>2555</v>
      </c>
      <c r="D1041" s="311"/>
      <c r="E1041" s="322">
        <v>7426.1</v>
      </c>
      <c r="F1041" s="322">
        <v>41735.61</v>
      </c>
      <c r="G1041" s="322">
        <f t="shared" si="33"/>
        <v>-34309.51</v>
      </c>
    </row>
    <row r="1042" spans="1:7">
      <c r="A1042" s="309" t="s">
        <v>1948</v>
      </c>
      <c r="B1042" s="673" t="s">
        <v>1076</v>
      </c>
      <c r="C1042" s="296" t="s">
        <v>1669</v>
      </c>
      <c r="D1042" s="310"/>
      <c r="E1042" s="319"/>
      <c r="F1042" s="319"/>
      <c r="G1042" s="319">
        <f t="shared" si="33"/>
        <v>0</v>
      </c>
    </row>
    <row r="1043" spans="1:7">
      <c r="A1043" s="299" t="s">
        <v>1950</v>
      </c>
      <c r="B1043" s="672">
        <v>360200050000000</v>
      </c>
      <c r="C1043" s="300" t="s">
        <v>2556</v>
      </c>
      <c r="D1043" s="311"/>
      <c r="E1043" s="322">
        <v>-16552.63</v>
      </c>
      <c r="F1043" s="322">
        <v>492.7</v>
      </c>
      <c r="G1043" s="322">
        <f t="shared" si="33"/>
        <v>-17045.330000000002</v>
      </c>
    </row>
    <row r="1044" spans="1:7">
      <c r="A1044" s="309" t="s">
        <v>1948</v>
      </c>
      <c r="B1044" s="673" t="s">
        <v>1077</v>
      </c>
      <c r="C1044" s="296" t="s">
        <v>1670</v>
      </c>
      <c r="D1044" s="310"/>
      <c r="E1044" s="319"/>
      <c r="F1044" s="319"/>
      <c r="G1044" s="319">
        <f t="shared" si="33"/>
        <v>0</v>
      </c>
    </row>
    <row r="1045" spans="1:7">
      <c r="A1045" s="299" t="s">
        <v>1950</v>
      </c>
      <c r="B1045" s="672">
        <v>360200060000000</v>
      </c>
      <c r="C1045" s="300" t="s">
        <v>2557</v>
      </c>
      <c r="D1045" s="311"/>
      <c r="E1045" s="322">
        <v>3845.12</v>
      </c>
      <c r="F1045" s="322">
        <v>2823.54</v>
      </c>
      <c r="G1045" s="322">
        <f t="shared" si="33"/>
        <v>1021.5799999999999</v>
      </c>
    </row>
    <row r="1046" spans="1:7">
      <c r="A1046" s="309" t="s">
        <v>1944</v>
      </c>
      <c r="B1046" s="673" t="s">
        <v>1078</v>
      </c>
      <c r="C1046" s="296" t="s">
        <v>2558</v>
      </c>
      <c r="D1046" s="310"/>
      <c r="E1046" s="319"/>
      <c r="F1046" s="319"/>
      <c r="G1046" s="319">
        <f t="shared" si="33"/>
        <v>0</v>
      </c>
    </row>
    <row r="1047" spans="1:7">
      <c r="A1047" s="309" t="s">
        <v>1946</v>
      </c>
      <c r="B1047" s="673" t="s">
        <v>1079</v>
      </c>
      <c r="C1047" s="296" t="s">
        <v>1672</v>
      </c>
      <c r="D1047" s="310"/>
      <c r="E1047" s="319"/>
      <c r="F1047" s="319"/>
      <c r="G1047" s="319">
        <f t="shared" si="33"/>
        <v>0</v>
      </c>
    </row>
    <row r="1048" spans="1:7" ht="25.5">
      <c r="A1048" s="309" t="s">
        <v>1948</v>
      </c>
      <c r="B1048" s="673" t="s">
        <v>1081</v>
      </c>
      <c r="C1048" s="296" t="s">
        <v>1673</v>
      </c>
      <c r="D1048" s="310"/>
      <c r="E1048" s="319"/>
      <c r="F1048" s="319"/>
      <c r="G1048" s="319">
        <f t="shared" si="33"/>
        <v>0</v>
      </c>
    </row>
    <row r="1049" spans="1:7">
      <c r="A1049" s="299" t="s">
        <v>1950</v>
      </c>
      <c r="B1049" s="672">
        <v>365100100000000</v>
      </c>
      <c r="C1049" s="300" t="s">
        <v>1080</v>
      </c>
      <c r="D1049" s="311"/>
      <c r="E1049" s="322"/>
      <c r="F1049" s="322">
        <v>58374.46</v>
      </c>
      <c r="G1049" s="322">
        <f t="shared" si="33"/>
        <v>-58374.46</v>
      </c>
    </row>
    <row r="1050" spans="1:7" ht="25.5">
      <c r="A1050" s="309" t="s">
        <v>1948</v>
      </c>
      <c r="B1050" s="673" t="s">
        <v>1083</v>
      </c>
      <c r="C1050" s="296" t="s">
        <v>1674</v>
      </c>
      <c r="D1050" s="310"/>
      <c r="E1050" s="319"/>
      <c r="F1050" s="319"/>
      <c r="G1050" s="319">
        <f t="shared" si="33"/>
        <v>0</v>
      </c>
    </row>
    <row r="1051" spans="1:7">
      <c r="A1051" s="299" t="s">
        <v>1950</v>
      </c>
      <c r="B1051" s="672">
        <v>365100200000000</v>
      </c>
      <c r="C1051" s="300" t="s">
        <v>1082</v>
      </c>
      <c r="D1051" s="311"/>
      <c r="E1051" s="322"/>
      <c r="F1051" s="322"/>
      <c r="G1051" s="322">
        <f t="shared" si="33"/>
        <v>0</v>
      </c>
    </row>
    <row r="1052" spans="1:7" ht="25.5">
      <c r="A1052" s="309" t="s">
        <v>1948</v>
      </c>
      <c r="B1052" s="673" t="s">
        <v>1085</v>
      </c>
      <c r="C1052" s="296" t="s">
        <v>1675</v>
      </c>
      <c r="D1052" s="310"/>
      <c r="E1052" s="319"/>
      <c r="F1052" s="319"/>
      <c r="G1052" s="319">
        <f t="shared" si="33"/>
        <v>0</v>
      </c>
    </row>
    <row r="1053" spans="1:7" ht="24">
      <c r="A1053" s="299" t="s">
        <v>1950</v>
      </c>
      <c r="B1053" s="672">
        <v>365100300000000</v>
      </c>
      <c r="C1053" s="300" t="s">
        <v>1084</v>
      </c>
      <c r="D1053" s="311"/>
      <c r="E1053" s="322"/>
      <c r="F1053" s="322"/>
      <c r="G1053" s="322">
        <f t="shared" si="33"/>
        <v>0</v>
      </c>
    </row>
    <row r="1054" spans="1:7" ht="25.5">
      <c r="A1054" s="309" t="s">
        <v>1948</v>
      </c>
      <c r="B1054" s="673" t="s">
        <v>1087</v>
      </c>
      <c r="C1054" s="296" t="s">
        <v>1676</v>
      </c>
      <c r="D1054" s="310"/>
      <c r="E1054" s="319"/>
      <c r="F1054" s="319"/>
      <c r="G1054" s="319">
        <f t="shared" si="33"/>
        <v>0</v>
      </c>
    </row>
    <row r="1055" spans="1:7" ht="24">
      <c r="A1055" s="299" t="s">
        <v>1950</v>
      </c>
      <c r="B1055" s="672">
        <v>365100400000000</v>
      </c>
      <c r="C1055" s="300" t="s">
        <v>1086</v>
      </c>
      <c r="D1055" s="311"/>
      <c r="E1055" s="322"/>
      <c r="F1055" s="322"/>
      <c r="G1055" s="322">
        <f t="shared" si="33"/>
        <v>0</v>
      </c>
    </row>
    <row r="1056" spans="1:7">
      <c r="A1056" s="309" t="s">
        <v>1948</v>
      </c>
      <c r="B1056" s="673" t="s">
        <v>1089</v>
      </c>
      <c r="C1056" s="296" t="s">
        <v>1677</v>
      </c>
      <c r="D1056" s="310"/>
      <c r="E1056" s="319"/>
      <c r="F1056" s="319"/>
      <c r="G1056" s="319">
        <f t="shared" si="33"/>
        <v>0</v>
      </c>
    </row>
    <row r="1057" spans="1:7">
      <c r="A1057" s="299" t="s">
        <v>1950</v>
      </c>
      <c r="B1057" s="672">
        <v>365100450000000</v>
      </c>
      <c r="C1057" s="300" t="s">
        <v>1088</v>
      </c>
      <c r="D1057" s="311"/>
      <c r="E1057" s="322">
        <v>13801743.380000001</v>
      </c>
      <c r="F1057" s="322">
        <v>13178644.27</v>
      </c>
      <c r="G1057" s="322">
        <f t="shared" si="33"/>
        <v>623099.11000000127</v>
      </c>
    </row>
    <row r="1058" spans="1:7">
      <c r="A1058" s="309" t="s">
        <v>1948</v>
      </c>
      <c r="B1058" s="673" t="s">
        <v>1091</v>
      </c>
      <c r="C1058" s="296" t="s">
        <v>1678</v>
      </c>
      <c r="D1058" s="310"/>
      <c r="E1058" s="319"/>
      <c r="F1058" s="319"/>
      <c r="G1058" s="319">
        <f t="shared" ref="G1058:G1121" si="34">E1058-F1058</f>
        <v>0</v>
      </c>
    </row>
    <row r="1059" spans="1:7">
      <c r="A1059" s="299" t="s">
        <v>1950</v>
      </c>
      <c r="B1059" s="672">
        <v>365100500100000</v>
      </c>
      <c r="C1059" s="300" t="s">
        <v>1092</v>
      </c>
      <c r="D1059" s="311"/>
      <c r="E1059" s="322"/>
      <c r="F1059" s="322"/>
      <c r="G1059" s="322">
        <f t="shared" si="34"/>
        <v>0</v>
      </c>
    </row>
    <row r="1060" spans="1:7">
      <c r="A1060" s="299" t="s">
        <v>1950</v>
      </c>
      <c r="B1060" s="672">
        <v>365100500200000</v>
      </c>
      <c r="C1060" s="300" t="s">
        <v>1093</v>
      </c>
      <c r="D1060" s="311"/>
      <c r="E1060" s="322"/>
      <c r="F1060" s="322"/>
      <c r="G1060" s="322">
        <f t="shared" si="34"/>
        <v>0</v>
      </c>
    </row>
    <row r="1061" spans="1:7">
      <c r="A1061" s="299" t="s">
        <v>1950</v>
      </c>
      <c r="B1061" s="672">
        <v>365100500900000</v>
      </c>
      <c r="C1061" s="300" t="s">
        <v>1090</v>
      </c>
      <c r="D1061" s="311"/>
      <c r="E1061" s="322"/>
      <c r="F1061" s="322"/>
      <c r="G1061" s="322">
        <f t="shared" si="34"/>
        <v>0</v>
      </c>
    </row>
    <row r="1062" spans="1:7">
      <c r="A1062" s="309" t="s">
        <v>1948</v>
      </c>
      <c r="B1062" s="673" t="s">
        <v>1095</v>
      </c>
      <c r="C1062" s="296" t="s">
        <v>2559</v>
      </c>
      <c r="D1062" s="310"/>
      <c r="E1062" s="319"/>
      <c r="F1062" s="319"/>
      <c r="G1062" s="319">
        <f t="shared" si="34"/>
        <v>0</v>
      </c>
    </row>
    <row r="1063" spans="1:7">
      <c r="A1063" s="299" t="s">
        <v>1950</v>
      </c>
      <c r="B1063" s="672">
        <v>365100600000000</v>
      </c>
      <c r="C1063" s="300" t="s">
        <v>1094</v>
      </c>
      <c r="D1063" s="311"/>
      <c r="E1063" s="322">
        <v>1000000</v>
      </c>
      <c r="F1063" s="322"/>
      <c r="G1063" s="322">
        <f t="shared" si="34"/>
        <v>1000000</v>
      </c>
    </row>
    <row r="1064" spans="1:7">
      <c r="A1064" s="309" t="s">
        <v>1946</v>
      </c>
      <c r="B1064" s="673" t="s">
        <v>1096</v>
      </c>
      <c r="C1064" s="296" t="s">
        <v>1680</v>
      </c>
      <c r="D1064" s="310"/>
      <c r="E1064" s="319"/>
      <c r="F1064" s="319"/>
      <c r="G1064" s="319">
        <f t="shared" si="34"/>
        <v>0</v>
      </c>
    </row>
    <row r="1065" spans="1:7">
      <c r="A1065" s="299">
        <v>5</v>
      </c>
      <c r="B1065" s="672">
        <v>365200100000000</v>
      </c>
      <c r="C1065" s="300" t="s">
        <v>1097</v>
      </c>
      <c r="D1065" s="311"/>
      <c r="E1065" s="322"/>
      <c r="F1065" s="322"/>
      <c r="G1065" s="322">
        <f t="shared" si="34"/>
        <v>0</v>
      </c>
    </row>
    <row r="1066" spans="1:7">
      <c r="A1066" s="299">
        <v>5</v>
      </c>
      <c r="B1066" s="672">
        <v>365200200000000</v>
      </c>
      <c r="C1066" s="300" t="s">
        <v>1098</v>
      </c>
      <c r="D1066" s="311"/>
      <c r="E1066" s="322"/>
      <c r="F1066" s="322"/>
      <c r="G1066" s="322">
        <f t="shared" si="34"/>
        <v>0</v>
      </c>
    </row>
    <row r="1067" spans="1:7" ht="25.5">
      <c r="A1067" s="309" t="s">
        <v>1946</v>
      </c>
      <c r="B1067" s="673" t="s">
        <v>1099</v>
      </c>
      <c r="C1067" s="296" t="s">
        <v>2560</v>
      </c>
      <c r="D1067" s="310"/>
      <c r="E1067" s="319"/>
      <c r="F1067" s="319"/>
      <c r="G1067" s="319">
        <f t="shared" si="34"/>
        <v>0</v>
      </c>
    </row>
    <row r="1068" spans="1:7" ht="25.5">
      <c r="A1068" s="309" t="s">
        <v>1948</v>
      </c>
      <c r="B1068" s="673" t="s">
        <v>1100</v>
      </c>
      <c r="C1068" s="296" t="s">
        <v>1682</v>
      </c>
      <c r="D1068" s="310"/>
      <c r="E1068" s="319"/>
      <c r="F1068" s="319"/>
      <c r="G1068" s="319">
        <f t="shared" si="34"/>
        <v>0</v>
      </c>
    </row>
    <row r="1069" spans="1:7" ht="24">
      <c r="A1069" s="299" t="s">
        <v>1950</v>
      </c>
      <c r="B1069" s="672">
        <v>365300050000000</v>
      </c>
      <c r="C1069" s="300" t="s">
        <v>2561</v>
      </c>
      <c r="D1069" s="311"/>
      <c r="E1069" s="322">
        <v>15774563</v>
      </c>
      <c r="F1069" s="322">
        <v>816.36</v>
      </c>
      <c r="G1069" s="322">
        <f t="shared" si="34"/>
        <v>15773746.640000001</v>
      </c>
    </row>
    <row r="1070" spans="1:7" ht="25.5">
      <c r="A1070" s="309" t="s">
        <v>1948</v>
      </c>
      <c r="B1070" s="673" t="s">
        <v>1102</v>
      </c>
      <c r="C1070" s="296" t="s">
        <v>1683</v>
      </c>
      <c r="D1070" s="310"/>
      <c r="E1070" s="319"/>
      <c r="F1070" s="319"/>
      <c r="G1070" s="319">
        <f t="shared" si="34"/>
        <v>0</v>
      </c>
    </row>
    <row r="1071" spans="1:7" ht="24">
      <c r="A1071" s="299" t="s">
        <v>1950</v>
      </c>
      <c r="B1071" s="672">
        <v>365300100000000</v>
      </c>
      <c r="C1071" s="300" t="s">
        <v>1101</v>
      </c>
      <c r="D1071" s="311"/>
      <c r="E1071" s="322"/>
      <c r="F1071" s="322"/>
      <c r="G1071" s="322">
        <f t="shared" si="34"/>
        <v>0</v>
      </c>
    </row>
    <row r="1072" spans="1:7" ht="25.5">
      <c r="A1072" s="309" t="s">
        <v>1948</v>
      </c>
      <c r="B1072" s="673" t="s">
        <v>1104</v>
      </c>
      <c r="C1072" s="296" t="s">
        <v>1684</v>
      </c>
      <c r="D1072" s="310"/>
      <c r="E1072" s="319"/>
      <c r="F1072" s="319"/>
      <c r="G1072" s="319">
        <f t="shared" si="34"/>
        <v>0</v>
      </c>
    </row>
    <row r="1073" spans="1:7" ht="24">
      <c r="A1073" s="299" t="s">
        <v>1950</v>
      </c>
      <c r="B1073" s="672">
        <v>365300200000000</v>
      </c>
      <c r="C1073" s="300" t="s">
        <v>1103</v>
      </c>
      <c r="D1073" s="311"/>
      <c r="E1073" s="322">
        <f>2649670.73-933134.03+2250.25+428034.84+16398.75-60000</f>
        <v>2103220.54</v>
      </c>
      <c r="F1073" s="322">
        <v>214690.42</v>
      </c>
      <c r="G1073" s="322">
        <f t="shared" si="34"/>
        <v>1888530.12</v>
      </c>
    </row>
    <row r="1074" spans="1:7" ht="25.5">
      <c r="A1074" s="309" t="s">
        <v>1948</v>
      </c>
      <c r="B1074" s="673" t="s">
        <v>1106</v>
      </c>
      <c r="C1074" s="296" t="s">
        <v>1685</v>
      </c>
      <c r="D1074" s="310"/>
      <c r="E1074" s="319"/>
      <c r="F1074" s="319"/>
      <c r="G1074" s="319">
        <f t="shared" si="34"/>
        <v>0</v>
      </c>
    </row>
    <row r="1075" spans="1:7" ht="24">
      <c r="A1075" s="299" t="s">
        <v>1950</v>
      </c>
      <c r="B1075" s="672">
        <v>365300300000000</v>
      </c>
      <c r="C1075" s="300" t="s">
        <v>1105</v>
      </c>
      <c r="D1075" s="311"/>
      <c r="E1075" s="322"/>
      <c r="F1075" s="322"/>
      <c r="G1075" s="322">
        <f t="shared" si="34"/>
        <v>0</v>
      </c>
    </row>
    <row r="1076" spans="1:7" ht="25.5">
      <c r="A1076" s="309" t="s">
        <v>1948</v>
      </c>
      <c r="B1076" s="673" t="s">
        <v>1107</v>
      </c>
      <c r="C1076" s="296" t="s">
        <v>1686</v>
      </c>
      <c r="D1076" s="310"/>
      <c r="E1076" s="319"/>
      <c r="F1076" s="319"/>
      <c r="G1076" s="319">
        <f t="shared" si="34"/>
        <v>0</v>
      </c>
    </row>
    <row r="1077" spans="1:7" ht="24">
      <c r="A1077" s="299">
        <v>6</v>
      </c>
      <c r="B1077" s="672">
        <v>365300400100000</v>
      </c>
      <c r="C1077" s="300" t="s">
        <v>1108</v>
      </c>
      <c r="D1077" s="311"/>
      <c r="E1077" s="322"/>
      <c r="F1077" s="322"/>
      <c r="G1077" s="322">
        <f t="shared" si="34"/>
        <v>0</v>
      </c>
    </row>
    <row r="1078" spans="1:7" ht="24">
      <c r="A1078" s="299">
        <v>6</v>
      </c>
      <c r="B1078" s="672">
        <v>365300400200000</v>
      </c>
      <c r="C1078" s="300" t="s">
        <v>1109</v>
      </c>
      <c r="D1078" s="311"/>
      <c r="E1078" s="322">
        <v>225.23</v>
      </c>
      <c r="F1078" s="322">
        <v>47193.29</v>
      </c>
      <c r="G1078" s="322">
        <f t="shared" si="34"/>
        <v>-46968.06</v>
      </c>
    </row>
    <row r="1079" spans="1:7" ht="25.5">
      <c r="A1079" s="309" t="s">
        <v>1948</v>
      </c>
      <c r="B1079" s="673" t="s">
        <v>1111</v>
      </c>
      <c r="C1079" s="296" t="s">
        <v>1687</v>
      </c>
      <c r="D1079" s="310"/>
      <c r="E1079" s="319"/>
      <c r="F1079" s="319"/>
      <c r="G1079" s="319">
        <f t="shared" si="34"/>
        <v>0</v>
      </c>
    </row>
    <row r="1080" spans="1:7" ht="24">
      <c r="A1080" s="299" t="s">
        <v>1950</v>
      </c>
      <c r="B1080" s="672">
        <v>365300500000000</v>
      </c>
      <c r="C1080" s="300" t="s">
        <v>1110</v>
      </c>
      <c r="D1080" s="311"/>
      <c r="E1080" s="322"/>
      <c r="F1080" s="322"/>
      <c r="G1080" s="322">
        <f t="shared" si="34"/>
        <v>0</v>
      </c>
    </row>
    <row r="1081" spans="1:7">
      <c r="A1081" s="309" t="s">
        <v>1946</v>
      </c>
      <c r="B1081" s="673" t="s">
        <v>1113</v>
      </c>
      <c r="C1081" s="296" t="s">
        <v>1688</v>
      </c>
      <c r="D1081" s="310"/>
      <c r="E1081" s="319"/>
      <c r="F1081" s="319"/>
      <c r="G1081" s="319">
        <f t="shared" si="34"/>
        <v>0</v>
      </c>
    </row>
    <row r="1082" spans="1:7">
      <c r="A1082" s="309" t="s">
        <v>1948</v>
      </c>
      <c r="B1082" s="673" t="s">
        <v>1115</v>
      </c>
      <c r="C1082" s="296" t="s">
        <v>1689</v>
      </c>
      <c r="D1082" s="310"/>
      <c r="E1082" s="319"/>
      <c r="F1082" s="319"/>
      <c r="G1082" s="319">
        <f t="shared" si="34"/>
        <v>0</v>
      </c>
    </row>
    <row r="1083" spans="1:7">
      <c r="A1083" s="299" t="s">
        <v>1950</v>
      </c>
      <c r="B1083" s="672">
        <v>365400200000000</v>
      </c>
      <c r="C1083" s="300" t="s">
        <v>1114</v>
      </c>
      <c r="D1083" s="311"/>
      <c r="E1083" s="322"/>
      <c r="F1083" s="322"/>
      <c r="G1083" s="322">
        <f t="shared" si="34"/>
        <v>0</v>
      </c>
    </row>
    <row r="1084" spans="1:7">
      <c r="A1084" s="309" t="s">
        <v>1948</v>
      </c>
      <c r="B1084" s="673" t="s">
        <v>1117</v>
      </c>
      <c r="C1084" s="296" t="s">
        <v>1690</v>
      </c>
      <c r="D1084" s="310"/>
      <c r="E1084" s="319"/>
      <c r="F1084" s="319"/>
      <c r="G1084" s="319">
        <f t="shared" si="34"/>
        <v>0</v>
      </c>
    </row>
    <row r="1085" spans="1:7">
      <c r="A1085" s="299" t="s">
        <v>1950</v>
      </c>
      <c r="B1085" s="672">
        <v>365400300000000</v>
      </c>
      <c r="C1085" s="300" t="s">
        <v>1116</v>
      </c>
      <c r="D1085" s="311"/>
      <c r="E1085" s="322"/>
      <c r="F1085" s="322"/>
      <c r="G1085" s="322">
        <f t="shared" si="34"/>
        <v>0</v>
      </c>
    </row>
    <row r="1086" spans="1:7">
      <c r="A1086" s="309" t="s">
        <v>1948</v>
      </c>
      <c r="B1086" s="673" t="s">
        <v>1119</v>
      </c>
      <c r="C1086" s="296" t="s">
        <v>1691</v>
      </c>
      <c r="D1086" s="310"/>
      <c r="E1086" s="319"/>
      <c r="F1086" s="319"/>
      <c r="G1086" s="319">
        <f t="shared" si="34"/>
        <v>0</v>
      </c>
    </row>
    <row r="1087" spans="1:7">
      <c r="A1087" s="299" t="s">
        <v>1950</v>
      </c>
      <c r="B1087" s="672">
        <v>365400400000000</v>
      </c>
      <c r="C1087" s="300" t="s">
        <v>1118</v>
      </c>
      <c r="D1087" s="311"/>
      <c r="E1087" s="322">
        <v>2013788.41</v>
      </c>
      <c r="F1087" s="322">
        <v>5619.9</v>
      </c>
      <c r="G1087" s="322">
        <f t="shared" si="34"/>
        <v>2008168.51</v>
      </c>
    </row>
    <row r="1088" spans="1:7">
      <c r="A1088" s="309" t="s">
        <v>1948</v>
      </c>
      <c r="B1088" s="673" t="s">
        <v>1121</v>
      </c>
      <c r="C1088" s="296" t="s">
        <v>1692</v>
      </c>
      <c r="D1088" s="310"/>
      <c r="E1088" s="319"/>
      <c r="F1088" s="319"/>
      <c r="G1088" s="319">
        <f t="shared" si="34"/>
        <v>0</v>
      </c>
    </row>
    <row r="1089" spans="1:7">
      <c r="A1089" s="299" t="s">
        <v>1950</v>
      </c>
      <c r="B1089" s="672">
        <v>365400500000000</v>
      </c>
      <c r="C1089" s="300" t="s">
        <v>1120</v>
      </c>
      <c r="D1089" s="311"/>
      <c r="E1089" s="322">
        <v>68721.3</v>
      </c>
      <c r="F1089" s="322">
        <v>78918.8</v>
      </c>
      <c r="G1089" s="322">
        <f t="shared" si="34"/>
        <v>-10197.5</v>
      </c>
    </row>
    <row r="1090" spans="1:7">
      <c r="A1090" s="309" t="s">
        <v>1948</v>
      </c>
      <c r="B1090" s="673" t="s">
        <v>1123</v>
      </c>
      <c r="C1090" s="296" t="s">
        <v>1693</v>
      </c>
      <c r="D1090" s="310"/>
      <c r="E1090" s="319"/>
      <c r="F1090" s="319"/>
      <c r="G1090" s="319">
        <f t="shared" si="34"/>
        <v>0</v>
      </c>
    </row>
    <row r="1091" spans="1:7">
      <c r="A1091" s="299" t="s">
        <v>1950</v>
      </c>
      <c r="B1091" s="672">
        <v>365400600000000</v>
      </c>
      <c r="C1091" s="300" t="s">
        <v>1122</v>
      </c>
      <c r="D1091" s="311"/>
      <c r="E1091" s="322"/>
      <c r="F1091" s="322">
        <v>3771.49</v>
      </c>
      <c r="G1091" s="322">
        <f t="shared" si="34"/>
        <v>-3771.49</v>
      </c>
    </row>
    <row r="1092" spans="1:7">
      <c r="A1092" s="309" t="s">
        <v>1948</v>
      </c>
      <c r="B1092" s="673" t="s">
        <v>1125</v>
      </c>
      <c r="C1092" s="296" t="s">
        <v>1694</v>
      </c>
      <c r="D1092" s="310"/>
      <c r="E1092" s="319"/>
      <c r="F1092" s="319"/>
      <c r="G1092" s="319">
        <f t="shared" si="34"/>
        <v>0</v>
      </c>
    </row>
    <row r="1093" spans="1:7">
      <c r="A1093" s="299" t="s">
        <v>1950</v>
      </c>
      <c r="B1093" s="672">
        <v>365400610000000</v>
      </c>
      <c r="C1093" s="300" t="s">
        <v>1124</v>
      </c>
      <c r="D1093" s="311"/>
      <c r="E1093" s="322"/>
      <c r="F1093" s="322"/>
      <c r="G1093" s="322">
        <f t="shared" si="34"/>
        <v>0</v>
      </c>
    </row>
    <row r="1094" spans="1:7">
      <c r="A1094" s="309" t="s">
        <v>1948</v>
      </c>
      <c r="B1094" s="673" t="s">
        <v>1127</v>
      </c>
      <c r="C1094" s="296" t="s">
        <v>1695</v>
      </c>
      <c r="D1094" s="310"/>
      <c r="E1094" s="319"/>
      <c r="F1094" s="319"/>
      <c r="G1094" s="319">
        <f t="shared" si="34"/>
        <v>0</v>
      </c>
    </row>
    <row r="1095" spans="1:7">
      <c r="A1095" s="299" t="s">
        <v>1950</v>
      </c>
      <c r="B1095" s="672">
        <v>365400620000000</v>
      </c>
      <c r="C1095" s="300" t="s">
        <v>1126</v>
      </c>
      <c r="D1095" s="311"/>
      <c r="E1095" s="322"/>
      <c r="F1095" s="322"/>
      <c r="G1095" s="322">
        <f t="shared" si="34"/>
        <v>0</v>
      </c>
    </row>
    <row r="1096" spans="1:7">
      <c r="A1096" s="309" t="s">
        <v>1948</v>
      </c>
      <c r="B1096" s="673" t="s">
        <v>1129</v>
      </c>
      <c r="C1096" s="296" t="s">
        <v>2562</v>
      </c>
      <c r="D1096" s="310"/>
      <c r="E1096" s="319"/>
      <c r="F1096" s="319"/>
      <c r="G1096" s="319">
        <f t="shared" si="34"/>
        <v>0</v>
      </c>
    </row>
    <row r="1097" spans="1:7">
      <c r="A1097" s="299" t="s">
        <v>1950</v>
      </c>
      <c r="B1097" s="672">
        <v>365400630000000</v>
      </c>
      <c r="C1097" s="300" t="s">
        <v>1128</v>
      </c>
      <c r="D1097" s="311"/>
      <c r="E1097" s="322"/>
      <c r="F1097" s="322"/>
      <c r="G1097" s="322">
        <f t="shared" si="34"/>
        <v>0</v>
      </c>
    </row>
    <row r="1098" spans="1:7" ht="25.5">
      <c r="A1098" s="309" t="s">
        <v>1948</v>
      </c>
      <c r="B1098" s="673" t="s">
        <v>1131</v>
      </c>
      <c r="C1098" s="296" t="s">
        <v>1697</v>
      </c>
      <c r="D1098" s="310"/>
      <c r="E1098" s="319"/>
      <c r="F1098" s="319"/>
      <c r="G1098" s="319">
        <f t="shared" si="34"/>
        <v>0</v>
      </c>
    </row>
    <row r="1099" spans="1:7">
      <c r="A1099" s="299" t="s">
        <v>1950</v>
      </c>
      <c r="B1099" s="672">
        <v>365400640000000</v>
      </c>
      <c r="C1099" s="300" t="s">
        <v>1130</v>
      </c>
      <c r="D1099" s="311"/>
      <c r="E1099" s="322">
        <v>3449.65</v>
      </c>
      <c r="F1099" s="322"/>
      <c r="G1099" s="322">
        <f t="shared" si="34"/>
        <v>3449.65</v>
      </c>
    </row>
    <row r="1100" spans="1:7">
      <c r="A1100" s="309" t="s">
        <v>1948</v>
      </c>
      <c r="B1100" s="673" t="s">
        <v>1132</v>
      </c>
      <c r="C1100" s="296" t="s">
        <v>1698</v>
      </c>
      <c r="D1100" s="310"/>
      <c r="E1100" s="319"/>
      <c r="F1100" s="319"/>
      <c r="G1100" s="319">
        <f t="shared" si="34"/>
        <v>0</v>
      </c>
    </row>
    <row r="1101" spans="1:7">
      <c r="A1101" s="299" t="s">
        <v>1950</v>
      </c>
      <c r="B1101" s="672">
        <v>365400700000000</v>
      </c>
      <c r="C1101" s="300" t="s">
        <v>1112</v>
      </c>
      <c r="D1101" s="311"/>
      <c r="E1101" s="322">
        <v>525113.68999999994</v>
      </c>
      <c r="F1101" s="322"/>
      <c r="G1101" s="322">
        <f t="shared" si="34"/>
        <v>525113.68999999994</v>
      </c>
    </row>
    <row r="1102" spans="1:7">
      <c r="A1102" s="309">
        <v>2</v>
      </c>
      <c r="B1102" s="673" t="s">
        <v>2563</v>
      </c>
      <c r="C1102" s="296" t="s">
        <v>2564</v>
      </c>
      <c r="D1102" s="310"/>
      <c r="E1102" s="319"/>
      <c r="F1102" s="319"/>
      <c r="G1102" s="319">
        <f t="shared" si="34"/>
        <v>0</v>
      </c>
    </row>
    <row r="1103" spans="1:7">
      <c r="A1103" s="309" t="s">
        <v>1944</v>
      </c>
      <c r="B1103" s="673" t="s">
        <v>1133</v>
      </c>
      <c r="C1103" s="296" t="s">
        <v>2566</v>
      </c>
      <c r="D1103" s="310"/>
      <c r="E1103" s="319"/>
      <c r="F1103" s="319"/>
      <c r="G1103" s="319">
        <f t="shared" si="34"/>
        <v>0</v>
      </c>
    </row>
    <row r="1104" spans="1:7">
      <c r="A1104" s="309" t="s">
        <v>1946</v>
      </c>
      <c r="B1104" s="673" t="s">
        <v>1135</v>
      </c>
      <c r="C1104" s="296" t="s">
        <v>1713</v>
      </c>
      <c r="D1104" s="310"/>
      <c r="E1104" s="319"/>
      <c r="F1104" s="319"/>
      <c r="G1104" s="319">
        <f t="shared" si="34"/>
        <v>0</v>
      </c>
    </row>
    <row r="1105" spans="1:7">
      <c r="A1105" s="299" t="s">
        <v>1948</v>
      </c>
      <c r="B1105" s="672">
        <v>370100000000000</v>
      </c>
      <c r="C1105" s="300" t="s">
        <v>1134</v>
      </c>
      <c r="D1105" s="311"/>
      <c r="E1105" s="322"/>
      <c r="F1105" s="322"/>
      <c r="G1105" s="322">
        <f t="shared" si="34"/>
        <v>0</v>
      </c>
    </row>
    <row r="1106" spans="1:7">
      <c r="A1106" s="309" t="s">
        <v>1946</v>
      </c>
      <c r="B1106" s="673" t="s">
        <v>1137</v>
      </c>
      <c r="C1106" s="296" t="s">
        <v>1714</v>
      </c>
      <c r="D1106" s="310"/>
      <c r="E1106" s="319"/>
      <c r="F1106" s="319"/>
      <c r="G1106" s="319">
        <f t="shared" si="34"/>
        <v>0</v>
      </c>
    </row>
    <row r="1107" spans="1:7">
      <c r="A1107" s="299" t="s">
        <v>1948</v>
      </c>
      <c r="B1107" s="672">
        <v>370200000000000</v>
      </c>
      <c r="C1107" s="300" t="s">
        <v>1136</v>
      </c>
      <c r="D1107" s="311"/>
      <c r="E1107" s="322"/>
      <c r="F1107" s="322"/>
      <c r="G1107" s="322">
        <f t="shared" si="34"/>
        <v>0</v>
      </c>
    </row>
    <row r="1108" spans="1:7">
      <c r="A1108" s="309" t="s">
        <v>1946</v>
      </c>
      <c r="B1108" s="673" t="s">
        <v>1139</v>
      </c>
      <c r="C1108" s="296" t="s">
        <v>1715</v>
      </c>
      <c r="D1108" s="310"/>
      <c r="E1108" s="319"/>
      <c r="F1108" s="319"/>
      <c r="G1108" s="319">
        <f t="shared" si="34"/>
        <v>0</v>
      </c>
    </row>
    <row r="1109" spans="1:7">
      <c r="A1109" s="299">
        <v>5</v>
      </c>
      <c r="B1109" s="672">
        <v>370300100000000</v>
      </c>
      <c r="C1109" s="300" t="s">
        <v>2567</v>
      </c>
      <c r="D1109" s="311"/>
      <c r="E1109" s="322"/>
      <c r="F1109" s="322"/>
      <c r="G1109" s="322">
        <f t="shared" si="34"/>
        <v>0</v>
      </c>
    </row>
    <row r="1110" spans="1:7">
      <c r="A1110" s="299">
        <v>5</v>
      </c>
      <c r="B1110" s="672">
        <v>370300900000000</v>
      </c>
      <c r="C1110" s="300" t="s">
        <v>1138</v>
      </c>
      <c r="D1110" s="311"/>
      <c r="E1110" s="322">
        <v>0</v>
      </c>
      <c r="F1110" s="322"/>
      <c r="G1110" s="322">
        <f t="shared" si="34"/>
        <v>0</v>
      </c>
    </row>
    <row r="1111" spans="1:7">
      <c r="A1111" s="309" t="s">
        <v>1944</v>
      </c>
      <c r="B1111" s="673" t="s">
        <v>1716</v>
      </c>
      <c r="C1111" s="296" t="s">
        <v>1717</v>
      </c>
      <c r="D1111" s="310"/>
      <c r="E1111" s="319"/>
      <c r="F1111" s="319"/>
      <c r="G1111" s="319">
        <f t="shared" si="34"/>
        <v>0</v>
      </c>
    </row>
    <row r="1112" spans="1:7">
      <c r="A1112" s="309" t="s">
        <v>1946</v>
      </c>
      <c r="B1112" s="673" t="s">
        <v>1141</v>
      </c>
      <c r="C1112" s="296" t="s">
        <v>1718</v>
      </c>
      <c r="D1112" s="310"/>
      <c r="E1112" s="319"/>
      <c r="F1112" s="319"/>
      <c r="G1112" s="319">
        <f t="shared" si="34"/>
        <v>0</v>
      </c>
    </row>
    <row r="1113" spans="1:7">
      <c r="A1113" s="299" t="s">
        <v>1948</v>
      </c>
      <c r="B1113" s="672">
        <v>375100000000000</v>
      </c>
      <c r="C1113" s="300" t="s">
        <v>1140</v>
      </c>
      <c r="D1113" s="311"/>
      <c r="E1113" s="322"/>
      <c r="F1113" s="322"/>
      <c r="G1113" s="322">
        <f t="shared" si="34"/>
        <v>0</v>
      </c>
    </row>
    <row r="1114" spans="1:7">
      <c r="A1114" s="309" t="s">
        <v>1946</v>
      </c>
      <c r="B1114" s="673" t="s">
        <v>1143</v>
      </c>
      <c r="C1114" s="296" t="s">
        <v>1719</v>
      </c>
      <c r="D1114" s="310"/>
      <c r="E1114" s="319"/>
      <c r="F1114" s="319"/>
      <c r="G1114" s="319">
        <f t="shared" si="34"/>
        <v>0</v>
      </c>
    </row>
    <row r="1115" spans="1:7">
      <c r="A1115" s="299" t="s">
        <v>1948</v>
      </c>
      <c r="B1115" s="672">
        <v>375200000000000</v>
      </c>
      <c r="C1115" s="300" t="s">
        <v>1142</v>
      </c>
      <c r="D1115" s="311"/>
      <c r="E1115" s="322"/>
      <c r="F1115" s="322"/>
      <c r="G1115" s="322">
        <f t="shared" si="34"/>
        <v>0</v>
      </c>
    </row>
    <row r="1116" spans="1:7">
      <c r="A1116" s="309">
        <v>2</v>
      </c>
      <c r="B1116" s="673" t="s">
        <v>2568</v>
      </c>
      <c r="C1116" s="296" t="s">
        <v>2569</v>
      </c>
      <c r="D1116" s="296"/>
      <c r="E1116" s="327"/>
      <c r="F1116" s="327"/>
      <c r="G1116" s="327">
        <f t="shared" si="34"/>
        <v>0</v>
      </c>
    </row>
    <row r="1117" spans="1:7">
      <c r="A1117" s="309" t="s">
        <v>1944</v>
      </c>
      <c r="B1117" s="673" t="s">
        <v>1145</v>
      </c>
      <c r="C1117" s="296" t="s">
        <v>2571</v>
      </c>
      <c r="D1117" s="296"/>
      <c r="E1117" s="327"/>
      <c r="F1117" s="327"/>
      <c r="G1117" s="327">
        <f t="shared" si="34"/>
        <v>0</v>
      </c>
    </row>
    <row r="1118" spans="1:7">
      <c r="A1118" s="299" t="s">
        <v>1946</v>
      </c>
      <c r="B1118" s="672">
        <v>380000000000000</v>
      </c>
      <c r="C1118" s="300" t="s">
        <v>1144</v>
      </c>
      <c r="D1118" s="311"/>
      <c r="E1118" s="322"/>
      <c r="F1118" s="322"/>
      <c r="G1118" s="322">
        <f t="shared" si="34"/>
        <v>0</v>
      </c>
    </row>
    <row r="1119" spans="1:7">
      <c r="A1119" s="295" t="s">
        <v>1941</v>
      </c>
      <c r="B1119" s="673" t="s">
        <v>2572</v>
      </c>
      <c r="C1119" s="295" t="s">
        <v>2573</v>
      </c>
      <c r="D1119" s="297"/>
      <c r="E1119" s="320"/>
      <c r="F1119" s="320"/>
      <c r="G1119" s="320">
        <f t="shared" si="34"/>
        <v>0</v>
      </c>
    </row>
    <row r="1120" spans="1:7">
      <c r="A1120" s="309" t="s">
        <v>1944</v>
      </c>
      <c r="B1120" s="673" t="s">
        <v>1146</v>
      </c>
      <c r="C1120" s="296" t="s">
        <v>1756</v>
      </c>
      <c r="D1120" s="310"/>
      <c r="E1120" s="319"/>
      <c r="F1120" s="319"/>
      <c r="G1120" s="319">
        <f t="shared" si="34"/>
        <v>0</v>
      </c>
    </row>
    <row r="1121" spans="1:7">
      <c r="A1121" s="309" t="s">
        <v>1946</v>
      </c>
      <c r="B1121" s="673" t="s">
        <v>1148</v>
      </c>
      <c r="C1121" s="296" t="s">
        <v>1757</v>
      </c>
      <c r="D1121" s="310"/>
      <c r="E1121" s="319"/>
      <c r="F1121" s="319"/>
      <c r="G1121" s="319">
        <f t="shared" si="34"/>
        <v>0</v>
      </c>
    </row>
    <row r="1122" spans="1:7">
      <c r="A1122" s="299" t="s">
        <v>1948</v>
      </c>
      <c r="B1122" s="672">
        <v>390100000000000</v>
      </c>
      <c r="C1122" s="300" t="s">
        <v>1147</v>
      </c>
      <c r="D1122" s="311"/>
      <c r="E1122" s="322"/>
      <c r="F1122" s="322"/>
      <c r="G1122" s="322">
        <f t="shared" ref="G1122:G1185" si="35">E1122-F1122</f>
        <v>0</v>
      </c>
    </row>
    <row r="1123" spans="1:7">
      <c r="A1123" s="309" t="s">
        <v>1946</v>
      </c>
      <c r="B1123" s="673" t="s">
        <v>1150</v>
      </c>
      <c r="C1123" s="296" t="s">
        <v>1758</v>
      </c>
      <c r="D1123" s="310"/>
      <c r="E1123" s="319"/>
      <c r="F1123" s="319"/>
      <c r="G1123" s="319">
        <f t="shared" si="35"/>
        <v>0</v>
      </c>
    </row>
    <row r="1124" spans="1:7">
      <c r="A1124" s="309" t="s">
        <v>1948</v>
      </c>
      <c r="B1124" s="673" t="s">
        <v>1152</v>
      </c>
      <c r="C1124" s="296" t="s">
        <v>1759</v>
      </c>
      <c r="D1124" s="310"/>
      <c r="E1124" s="319"/>
      <c r="F1124" s="319"/>
      <c r="G1124" s="319">
        <f t="shared" si="35"/>
        <v>0</v>
      </c>
    </row>
    <row r="1125" spans="1:7">
      <c r="A1125" s="299" t="s">
        <v>1950</v>
      </c>
      <c r="B1125" s="672">
        <v>390200100000000</v>
      </c>
      <c r="C1125" s="300" t="s">
        <v>1151</v>
      </c>
      <c r="D1125" s="311"/>
      <c r="E1125" s="322"/>
      <c r="F1125" s="322"/>
      <c r="G1125" s="322">
        <f t="shared" si="35"/>
        <v>0</v>
      </c>
    </row>
    <row r="1126" spans="1:7">
      <c r="A1126" s="309" t="s">
        <v>1948</v>
      </c>
      <c r="B1126" s="673" t="s">
        <v>1154</v>
      </c>
      <c r="C1126" s="296" t="s">
        <v>1760</v>
      </c>
      <c r="D1126" s="310"/>
      <c r="E1126" s="319"/>
      <c r="F1126" s="319"/>
      <c r="G1126" s="319">
        <f t="shared" si="35"/>
        <v>0</v>
      </c>
    </row>
    <row r="1127" spans="1:7">
      <c r="A1127" s="299" t="s">
        <v>1950</v>
      </c>
      <c r="B1127" s="672">
        <v>390200200000000</v>
      </c>
      <c r="C1127" s="300" t="s">
        <v>1153</v>
      </c>
      <c r="D1127" s="311"/>
      <c r="E1127" s="322"/>
      <c r="F1127" s="322"/>
      <c r="G1127" s="322">
        <f t="shared" si="35"/>
        <v>0</v>
      </c>
    </row>
    <row r="1128" spans="1:7">
      <c r="A1128" s="309" t="s">
        <v>1948</v>
      </c>
      <c r="B1128" s="673" t="s">
        <v>1155</v>
      </c>
      <c r="C1128" s="296" t="s">
        <v>1761</v>
      </c>
      <c r="D1128" s="310"/>
      <c r="E1128" s="319"/>
      <c r="F1128" s="319"/>
      <c r="G1128" s="319">
        <f t="shared" si="35"/>
        <v>0</v>
      </c>
    </row>
    <row r="1129" spans="1:7" ht="25.5">
      <c r="A1129" s="309" t="s">
        <v>1950</v>
      </c>
      <c r="B1129" s="673" t="s">
        <v>1156</v>
      </c>
      <c r="C1129" s="296" t="s">
        <v>1762</v>
      </c>
      <c r="D1129" s="310" t="s">
        <v>1238</v>
      </c>
      <c r="E1129" s="319"/>
      <c r="F1129" s="319"/>
      <c r="G1129" s="319">
        <f t="shared" si="35"/>
        <v>0</v>
      </c>
    </row>
    <row r="1130" spans="1:7" ht="25.5">
      <c r="A1130" s="309" t="s">
        <v>1951</v>
      </c>
      <c r="B1130" s="673" t="s">
        <v>1158</v>
      </c>
      <c r="C1130" s="296" t="s">
        <v>1763</v>
      </c>
      <c r="D1130" s="310" t="s">
        <v>1238</v>
      </c>
      <c r="E1130" s="319"/>
      <c r="F1130" s="319"/>
      <c r="G1130" s="319">
        <f t="shared" si="35"/>
        <v>0</v>
      </c>
    </row>
    <row r="1131" spans="1:7" ht="24">
      <c r="A1131" s="299" t="s">
        <v>1998</v>
      </c>
      <c r="B1131" s="672">
        <v>390200300101000</v>
      </c>
      <c r="C1131" s="300" t="s">
        <v>1157</v>
      </c>
      <c r="D1131" s="311" t="s">
        <v>1238</v>
      </c>
      <c r="E1131" s="322"/>
      <c r="F1131" s="322"/>
      <c r="G1131" s="322">
        <f t="shared" si="35"/>
        <v>0</v>
      </c>
    </row>
    <row r="1132" spans="1:7" ht="25.5">
      <c r="A1132" s="309" t="s">
        <v>1951</v>
      </c>
      <c r="B1132" s="673" t="s">
        <v>1160</v>
      </c>
      <c r="C1132" s="296" t="s">
        <v>1764</v>
      </c>
      <c r="D1132" s="310" t="s">
        <v>1238</v>
      </c>
      <c r="E1132" s="319"/>
      <c r="F1132" s="319"/>
      <c r="G1132" s="319">
        <f t="shared" si="35"/>
        <v>0</v>
      </c>
    </row>
    <row r="1133" spans="1:7" ht="24">
      <c r="A1133" s="299" t="s">
        <v>1998</v>
      </c>
      <c r="B1133" s="672">
        <v>390200300102000</v>
      </c>
      <c r="C1133" s="300" t="s">
        <v>1159</v>
      </c>
      <c r="D1133" s="311" t="s">
        <v>1238</v>
      </c>
      <c r="E1133" s="322">
        <v>114209.15</v>
      </c>
      <c r="F1133" s="322">
        <v>218544.43</v>
      </c>
      <c r="G1133" s="322">
        <f t="shared" si="35"/>
        <v>-104335.28</v>
      </c>
    </row>
    <row r="1134" spans="1:7">
      <c r="A1134" s="309" t="s">
        <v>1950</v>
      </c>
      <c r="B1134" s="673" t="s">
        <v>1161</v>
      </c>
      <c r="C1134" s="296" t="s">
        <v>1765</v>
      </c>
      <c r="D1134" s="310"/>
      <c r="E1134" s="319"/>
      <c r="F1134" s="319"/>
      <c r="G1134" s="319">
        <f t="shared" si="35"/>
        <v>0</v>
      </c>
    </row>
    <row r="1135" spans="1:7" ht="25.5">
      <c r="A1135" s="309" t="s">
        <v>1951</v>
      </c>
      <c r="B1135" s="673" t="s">
        <v>1163</v>
      </c>
      <c r="C1135" s="296" t="s">
        <v>1766</v>
      </c>
      <c r="D1135" s="310"/>
      <c r="E1135" s="319"/>
      <c r="F1135" s="319"/>
      <c r="G1135" s="319">
        <f t="shared" si="35"/>
        <v>0</v>
      </c>
    </row>
    <row r="1136" spans="1:7" ht="24">
      <c r="A1136" s="299" t="s">
        <v>1998</v>
      </c>
      <c r="B1136" s="672">
        <v>390200300201000</v>
      </c>
      <c r="C1136" s="300" t="s">
        <v>1162</v>
      </c>
      <c r="D1136" s="311"/>
      <c r="E1136" s="322"/>
      <c r="F1136" s="322"/>
      <c r="G1136" s="322">
        <f t="shared" si="35"/>
        <v>0</v>
      </c>
    </row>
    <row r="1137" spans="1:7" ht="25.5">
      <c r="A1137" s="309" t="s">
        <v>1951</v>
      </c>
      <c r="B1137" s="673" t="s">
        <v>1164</v>
      </c>
      <c r="C1137" s="296" t="s">
        <v>1767</v>
      </c>
      <c r="D1137" s="310"/>
      <c r="E1137" s="319"/>
      <c r="F1137" s="319"/>
      <c r="G1137" s="319">
        <f t="shared" si="35"/>
        <v>0</v>
      </c>
    </row>
    <row r="1138" spans="1:7" ht="25.5">
      <c r="A1138" s="309" t="s">
        <v>1998</v>
      </c>
      <c r="B1138" s="673" t="s">
        <v>1166</v>
      </c>
      <c r="C1138" s="296" t="s">
        <v>1768</v>
      </c>
      <c r="D1138" s="310"/>
      <c r="E1138" s="319"/>
      <c r="F1138" s="319"/>
      <c r="G1138" s="319">
        <f t="shared" si="35"/>
        <v>0</v>
      </c>
    </row>
    <row r="1139" spans="1:7" ht="24">
      <c r="A1139" s="299" t="s">
        <v>2575</v>
      </c>
      <c r="B1139" s="672">
        <v>390200300202005</v>
      </c>
      <c r="C1139" s="300" t="s">
        <v>1165</v>
      </c>
      <c r="D1139" s="311"/>
      <c r="E1139" s="322"/>
      <c r="F1139" s="322"/>
      <c r="G1139" s="322">
        <f t="shared" si="35"/>
        <v>0</v>
      </c>
    </row>
    <row r="1140" spans="1:7" ht="25.5">
      <c r="A1140" s="309" t="s">
        <v>1998</v>
      </c>
      <c r="B1140" s="673" t="s">
        <v>1168</v>
      </c>
      <c r="C1140" s="296" t="s">
        <v>1769</v>
      </c>
      <c r="D1140" s="310"/>
      <c r="E1140" s="319"/>
      <c r="F1140" s="319"/>
      <c r="G1140" s="319">
        <f t="shared" si="35"/>
        <v>0</v>
      </c>
    </row>
    <row r="1141" spans="1:7" ht="24">
      <c r="A1141" s="299" t="s">
        <v>2575</v>
      </c>
      <c r="B1141" s="672">
        <v>390200300202010</v>
      </c>
      <c r="C1141" s="300" t="s">
        <v>1167</v>
      </c>
      <c r="D1141" s="311"/>
      <c r="E1141" s="322"/>
      <c r="F1141" s="322"/>
      <c r="G1141" s="322">
        <f t="shared" si="35"/>
        <v>0</v>
      </c>
    </row>
    <row r="1142" spans="1:7" ht="25.5">
      <c r="A1142" s="309" t="s">
        <v>1998</v>
      </c>
      <c r="B1142" s="673" t="s">
        <v>1170</v>
      </c>
      <c r="C1142" s="296" t="s">
        <v>1770</v>
      </c>
      <c r="D1142" s="310"/>
      <c r="E1142" s="319"/>
      <c r="F1142" s="319"/>
      <c r="G1142" s="319">
        <f t="shared" si="35"/>
        <v>0</v>
      </c>
    </row>
    <row r="1143" spans="1:7">
      <c r="A1143" s="299" t="s">
        <v>2575</v>
      </c>
      <c r="B1143" s="672">
        <v>390200300202015</v>
      </c>
      <c r="C1143" s="300" t="s">
        <v>1169</v>
      </c>
      <c r="D1143" s="311"/>
      <c r="E1143" s="322">
        <v>0</v>
      </c>
      <c r="F1143" s="322">
        <v>6.84</v>
      </c>
      <c r="G1143" s="322">
        <f t="shared" si="35"/>
        <v>-6.84</v>
      </c>
    </row>
    <row r="1144" spans="1:7" ht="25.5">
      <c r="A1144" s="309" t="s">
        <v>1951</v>
      </c>
      <c r="B1144" s="673" t="s">
        <v>1172</v>
      </c>
      <c r="C1144" s="296" t="s">
        <v>1771</v>
      </c>
      <c r="D1144" s="310"/>
      <c r="E1144" s="319"/>
      <c r="F1144" s="319"/>
      <c r="G1144" s="319">
        <f t="shared" si="35"/>
        <v>0</v>
      </c>
    </row>
    <row r="1145" spans="1:7" ht="24">
      <c r="A1145" s="299" t="s">
        <v>1998</v>
      </c>
      <c r="B1145" s="672">
        <v>390200300203000</v>
      </c>
      <c r="C1145" s="300" t="s">
        <v>1171</v>
      </c>
      <c r="D1145" s="311"/>
      <c r="E1145" s="322"/>
      <c r="F1145" s="322"/>
      <c r="G1145" s="322">
        <f t="shared" si="35"/>
        <v>0</v>
      </c>
    </row>
    <row r="1146" spans="1:7" ht="25.5">
      <c r="A1146" s="309" t="s">
        <v>1951</v>
      </c>
      <c r="B1146" s="673" t="s">
        <v>1174</v>
      </c>
      <c r="C1146" s="296" t="s">
        <v>1772</v>
      </c>
      <c r="D1146" s="310"/>
      <c r="E1146" s="319"/>
      <c r="F1146" s="319"/>
      <c r="G1146" s="319">
        <f t="shared" si="35"/>
        <v>0</v>
      </c>
    </row>
    <row r="1147" spans="1:7" ht="24">
      <c r="A1147" s="299" t="s">
        <v>1998</v>
      </c>
      <c r="B1147" s="672">
        <v>390200300204000</v>
      </c>
      <c r="C1147" s="300" t="s">
        <v>1173</v>
      </c>
      <c r="D1147" s="311"/>
      <c r="E1147" s="322"/>
      <c r="F1147" s="322"/>
      <c r="G1147" s="322">
        <f t="shared" si="35"/>
        <v>0</v>
      </c>
    </row>
    <row r="1148" spans="1:7" ht="25.5">
      <c r="A1148" s="309" t="s">
        <v>1951</v>
      </c>
      <c r="B1148" s="673" t="s">
        <v>1176</v>
      </c>
      <c r="C1148" s="296" t="s">
        <v>1773</v>
      </c>
      <c r="D1148" s="310"/>
      <c r="E1148" s="319"/>
      <c r="F1148" s="319"/>
      <c r="G1148" s="319">
        <f t="shared" si="35"/>
        <v>0</v>
      </c>
    </row>
    <row r="1149" spans="1:7" ht="24">
      <c r="A1149" s="299" t="s">
        <v>1998</v>
      </c>
      <c r="B1149" s="672">
        <v>390200300205000</v>
      </c>
      <c r="C1149" s="300" t="s">
        <v>1175</v>
      </c>
      <c r="D1149" s="311"/>
      <c r="E1149" s="322"/>
      <c r="F1149" s="322"/>
      <c r="G1149" s="322">
        <f t="shared" si="35"/>
        <v>0</v>
      </c>
    </row>
    <row r="1150" spans="1:7" ht="25.5">
      <c r="A1150" s="309" t="s">
        <v>1951</v>
      </c>
      <c r="B1150" s="673" t="s">
        <v>1178</v>
      </c>
      <c r="C1150" s="296" t="s">
        <v>1774</v>
      </c>
      <c r="D1150" s="310"/>
      <c r="E1150" s="319"/>
      <c r="F1150" s="319"/>
      <c r="G1150" s="319">
        <f t="shared" si="35"/>
        <v>0</v>
      </c>
    </row>
    <row r="1151" spans="1:7" ht="24">
      <c r="A1151" s="299" t="s">
        <v>1998</v>
      </c>
      <c r="B1151" s="672">
        <v>390200300206000</v>
      </c>
      <c r="C1151" s="300" t="s">
        <v>1177</v>
      </c>
      <c r="D1151" s="311"/>
      <c r="E1151" s="322">
        <v>2180.34</v>
      </c>
      <c r="F1151" s="322">
        <v>44149.81</v>
      </c>
      <c r="G1151" s="322">
        <f t="shared" si="35"/>
        <v>-41969.47</v>
      </c>
    </row>
    <row r="1152" spans="1:7">
      <c r="A1152" s="309" t="s">
        <v>1951</v>
      </c>
      <c r="B1152" s="673" t="s">
        <v>1180</v>
      </c>
      <c r="C1152" s="296" t="s">
        <v>1775</v>
      </c>
      <c r="D1152" s="310"/>
      <c r="E1152" s="319"/>
      <c r="F1152" s="319"/>
      <c r="G1152" s="319">
        <f t="shared" si="35"/>
        <v>0</v>
      </c>
    </row>
    <row r="1153" spans="1:7">
      <c r="A1153" s="299" t="s">
        <v>1998</v>
      </c>
      <c r="B1153" s="672">
        <v>390200300209000</v>
      </c>
      <c r="C1153" s="300" t="s">
        <v>1179</v>
      </c>
      <c r="D1153" s="311"/>
      <c r="E1153" s="322">
        <v>43973.89</v>
      </c>
      <c r="F1153" s="322">
        <v>97857.279999999999</v>
      </c>
      <c r="G1153" s="322">
        <f t="shared" si="35"/>
        <v>-53883.39</v>
      </c>
    </row>
    <row r="1154" spans="1:7">
      <c r="A1154" s="309" t="s">
        <v>1948</v>
      </c>
      <c r="B1154" s="673" t="s">
        <v>1181</v>
      </c>
      <c r="C1154" s="296" t="s">
        <v>1776</v>
      </c>
      <c r="D1154" s="310"/>
      <c r="E1154" s="319"/>
      <c r="F1154" s="319"/>
      <c r="G1154" s="319">
        <f t="shared" si="35"/>
        <v>0</v>
      </c>
    </row>
    <row r="1155" spans="1:7">
      <c r="A1155" s="309" t="s">
        <v>1950</v>
      </c>
      <c r="B1155" s="673" t="s">
        <v>1183</v>
      </c>
      <c r="C1155" s="296" t="s">
        <v>1777</v>
      </c>
      <c r="D1155" s="310"/>
      <c r="E1155" s="319"/>
      <c r="F1155" s="319"/>
      <c r="G1155" s="319">
        <f t="shared" si="35"/>
        <v>0</v>
      </c>
    </row>
    <row r="1156" spans="1:7">
      <c r="A1156" s="299" t="s">
        <v>1951</v>
      </c>
      <c r="B1156" s="672">
        <v>390200400500000</v>
      </c>
      <c r="C1156" s="300" t="s">
        <v>1182</v>
      </c>
      <c r="D1156" s="311"/>
      <c r="E1156" s="322"/>
      <c r="F1156" s="322"/>
      <c r="G1156" s="322">
        <f t="shared" si="35"/>
        <v>0</v>
      </c>
    </row>
    <row r="1157" spans="1:7" ht="25.5">
      <c r="A1157" s="309" t="s">
        <v>1950</v>
      </c>
      <c r="B1157" s="673" t="s">
        <v>1185</v>
      </c>
      <c r="C1157" s="296" t="s">
        <v>1778</v>
      </c>
      <c r="D1157" s="310" t="s">
        <v>1238</v>
      </c>
      <c r="E1157" s="319"/>
      <c r="F1157" s="319"/>
      <c r="G1157" s="319">
        <f t="shared" si="35"/>
        <v>0</v>
      </c>
    </row>
    <row r="1158" spans="1:7" ht="24">
      <c r="A1158" s="299" t="s">
        <v>1951</v>
      </c>
      <c r="B1158" s="672">
        <v>390200400100000</v>
      </c>
      <c r="C1158" s="300" t="s">
        <v>1184</v>
      </c>
      <c r="D1158" s="311" t="s">
        <v>1238</v>
      </c>
      <c r="E1158" s="322">
        <v>130.63999999999999</v>
      </c>
      <c r="F1158" s="322"/>
      <c r="G1158" s="322">
        <f t="shared" si="35"/>
        <v>130.63999999999999</v>
      </c>
    </row>
    <row r="1159" spans="1:7">
      <c r="A1159" s="309" t="s">
        <v>1950</v>
      </c>
      <c r="B1159" s="673" t="s">
        <v>1186</v>
      </c>
      <c r="C1159" s="296" t="s">
        <v>1779</v>
      </c>
      <c r="D1159" s="310"/>
      <c r="E1159" s="319"/>
      <c r="F1159" s="319"/>
      <c r="G1159" s="319">
        <f t="shared" si="35"/>
        <v>0</v>
      </c>
    </row>
    <row r="1160" spans="1:7" ht="25.5">
      <c r="A1160" s="309" t="s">
        <v>1951</v>
      </c>
      <c r="B1160" s="673" t="s">
        <v>1188</v>
      </c>
      <c r="C1160" s="296" t="s">
        <v>1780</v>
      </c>
      <c r="D1160" s="310"/>
      <c r="E1160" s="319"/>
      <c r="F1160" s="319"/>
      <c r="G1160" s="319">
        <f t="shared" si="35"/>
        <v>0</v>
      </c>
    </row>
    <row r="1161" spans="1:7" ht="24">
      <c r="A1161" s="299" t="s">
        <v>1998</v>
      </c>
      <c r="B1161" s="672">
        <v>390200400201000</v>
      </c>
      <c r="C1161" s="300" t="s">
        <v>1187</v>
      </c>
      <c r="D1161" s="311"/>
      <c r="E1161" s="322"/>
      <c r="F1161" s="322"/>
      <c r="G1161" s="322">
        <f t="shared" si="35"/>
        <v>0</v>
      </c>
    </row>
    <row r="1162" spans="1:7" ht="25.5">
      <c r="A1162" s="309" t="s">
        <v>1951</v>
      </c>
      <c r="B1162" s="673" t="s">
        <v>1190</v>
      </c>
      <c r="C1162" s="296" t="s">
        <v>1781</v>
      </c>
      <c r="D1162" s="310"/>
      <c r="E1162" s="319"/>
      <c r="F1162" s="319"/>
      <c r="G1162" s="319">
        <f t="shared" si="35"/>
        <v>0</v>
      </c>
    </row>
    <row r="1163" spans="1:7">
      <c r="A1163" s="299" t="s">
        <v>1998</v>
      </c>
      <c r="B1163" s="672">
        <v>390200400202000</v>
      </c>
      <c r="C1163" s="300" t="s">
        <v>1189</v>
      </c>
      <c r="D1163" s="311"/>
      <c r="E1163" s="322"/>
      <c r="F1163" s="322"/>
      <c r="G1163" s="322">
        <f t="shared" si="35"/>
        <v>0</v>
      </c>
    </row>
    <row r="1164" spans="1:7" ht="25.5">
      <c r="A1164" s="309" t="s">
        <v>1951</v>
      </c>
      <c r="B1164" s="673" t="s">
        <v>1192</v>
      </c>
      <c r="C1164" s="296" t="s">
        <v>1782</v>
      </c>
      <c r="D1164" s="310"/>
      <c r="E1164" s="319"/>
      <c r="F1164" s="319"/>
      <c r="G1164" s="319">
        <f t="shared" si="35"/>
        <v>0</v>
      </c>
    </row>
    <row r="1165" spans="1:7" ht="24">
      <c r="A1165" s="299" t="s">
        <v>1998</v>
      </c>
      <c r="B1165" s="672">
        <v>390200400203000</v>
      </c>
      <c r="C1165" s="300" t="s">
        <v>1191</v>
      </c>
      <c r="D1165" s="311"/>
      <c r="E1165" s="322"/>
      <c r="F1165" s="322"/>
      <c r="G1165" s="322">
        <f t="shared" si="35"/>
        <v>0</v>
      </c>
    </row>
    <row r="1166" spans="1:7" ht="25.5">
      <c r="A1166" s="309" t="s">
        <v>1951</v>
      </c>
      <c r="B1166" s="673" t="s">
        <v>1194</v>
      </c>
      <c r="C1166" s="296" t="s">
        <v>1783</v>
      </c>
      <c r="D1166" s="310"/>
      <c r="E1166" s="319"/>
      <c r="F1166" s="319"/>
      <c r="G1166" s="319">
        <f t="shared" si="35"/>
        <v>0</v>
      </c>
    </row>
    <row r="1167" spans="1:7" ht="24">
      <c r="A1167" s="299" t="s">
        <v>1998</v>
      </c>
      <c r="B1167" s="672">
        <v>390200400204000</v>
      </c>
      <c r="C1167" s="300" t="s">
        <v>1193</v>
      </c>
      <c r="D1167" s="311"/>
      <c r="E1167" s="322"/>
      <c r="F1167" s="322"/>
      <c r="G1167" s="322">
        <f t="shared" si="35"/>
        <v>0</v>
      </c>
    </row>
    <row r="1168" spans="1:7" ht="25.5">
      <c r="A1168" s="309" t="s">
        <v>1951</v>
      </c>
      <c r="B1168" s="673" t="s">
        <v>1196</v>
      </c>
      <c r="C1168" s="296" t="s">
        <v>1784</v>
      </c>
      <c r="D1168" s="310"/>
      <c r="E1168" s="319"/>
      <c r="F1168" s="319"/>
      <c r="G1168" s="319">
        <f t="shared" si="35"/>
        <v>0</v>
      </c>
    </row>
    <row r="1169" spans="1:7" ht="24">
      <c r="A1169" s="299" t="s">
        <v>1998</v>
      </c>
      <c r="B1169" s="672">
        <v>390200400205000</v>
      </c>
      <c r="C1169" s="300" t="s">
        <v>1195</v>
      </c>
      <c r="D1169" s="311"/>
      <c r="E1169" s="322"/>
      <c r="F1169" s="322"/>
      <c r="G1169" s="322">
        <f t="shared" si="35"/>
        <v>0</v>
      </c>
    </row>
    <row r="1170" spans="1:7" ht="25.5">
      <c r="A1170" s="309" t="s">
        <v>1951</v>
      </c>
      <c r="B1170" s="673" t="s">
        <v>1198</v>
      </c>
      <c r="C1170" s="296" t="s">
        <v>1785</v>
      </c>
      <c r="D1170" s="310"/>
      <c r="E1170" s="319"/>
      <c r="F1170" s="319"/>
      <c r="G1170" s="319">
        <f t="shared" si="35"/>
        <v>0</v>
      </c>
    </row>
    <row r="1171" spans="1:7" ht="24">
      <c r="A1171" s="299" t="s">
        <v>1998</v>
      </c>
      <c r="B1171" s="672">
        <v>390200400206000</v>
      </c>
      <c r="C1171" s="300" t="s">
        <v>1197</v>
      </c>
      <c r="D1171" s="311"/>
      <c r="E1171" s="322"/>
      <c r="F1171" s="322">
        <v>3210.5</v>
      </c>
      <c r="G1171" s="322">
        <f t="shared" si="35"/>
        <v>-3210.5</v>
      </c>
    </row>
    <row r="1172" spans="1:7">
      <c r="A1172" s="309" t="s">
        <v>1951</v>
      </c>
      <c r="B1172" s="673" t="s">
        <v>1200</v>
      </c>
      <c r="C1172" s="296" t="s">
        <v>1786</v>
      </c>
      <c r="D1172" s="310"/>
      <c r="E1172" s="319"/>
      <c r="F1172" s="319"/>
      <c r="G1172" s="319">
        <f t="shared" si="35"/>
        <v>0</v>
      </c>
    </row>
    <row r="1173" spans="1:7">
      <c r="A1173" s="299" t="s">
        <v>1998</v>
      </c>
      <c r="B1173" s="672">
        <v>390200400207000</v>
      </c>
      <c r="C1173" s="300" t="s">
        <v>1199</v>
      </c>
      <c r="D1173" s="311"/>
      <c r="E1173" s="322">
        <f>2654.51+9001</f>
        <v>11655.51</v>
      </c>
      <c r="F1173" s="322">
        <v>5786.55</v>
      </c>
      <c r="G1173" s="322">
        <f t="shared" si="35"/>
        <v>5868.96</v>
      </c>
    </row>
    <row r="1174" spans="1:7">
      <c r="A1174" s="309" t="s">
        <v>1948</v>
      </c>
      <c r="B1174" s="673" t="s">
        <v>1201</v>
      </c>
      <c r="C1174" s="296" t="s">
        <v>1787</v>
      </c>
      <c r="D1174" s="310"/>
      <c r="E1174" s="319"/>
      <c r="F1174" s="319"/>
      <c r="G1174" s="319">
        <f t="shared" si="35"/>
        <v>0</v>
      </c>
    </row>
    <row r="1175" spans="1:7">
      <c r="A1175" s="299" t="s">
        <v>1950</v>
      </c>
      <c r="B1175" s="672">
        <v>390200500000000</v>
      </c>
      <c r="C1175" s="300" t="s">
        <v>1149</v>
      </c>
      <c r="D1175" s="311"/>
      <c r="E1175" s="322">
        <v>9361.89</v>
      </c>
      <c r="F1175" s="322">
        <v>883.03</v>
      </c>
      <c r="G1175" s="322">
        <f t="shared" si="35"/>
        <v>8478.8599999999988</v>
      </c>
    </row>
    <row r="1176" spans="1:7">
      <c r="A1176" s="309" t="s">
        <v>1941</v>
      </c>
      <c r="B1176" s="673" t="s">
        <v>2576</v>
      </c>
      <c r="C1176" s="296" t="s">
        <v>2577</v>
      </c>
      <c r="D1176" s="310"/>
      <c r="E1176" s="319"/>
      <c r="F1176" s="319"/>
      <c r="G1176" s="319">
        <f t="shared" si="35"/>
        <v>0</v>
      </c>
    </row>
    <row r="1177" spans="1:7">
      <c r="A1177" s="309" t="s">
        <v>1944</v>
      </c>
      <c r="B1177" s="673" t="s">
        <v>1202</v>
      </c>
      <c r="C1177" s="296" t="s">
        <v>1793</v>
      </c>
      <c r="D1177" s="310"/>
      <c r="E1177" s="319"/>
      <c r="F1177" s="319"/>
      <c r="G1177" s="319">
        <f t="shared" si="35"/>
        <v>0</v>
      </c>
    </row>
    <row r="1178" spans="1:7">
      <c r="A1178" s="309" t="s">
        <v>1946</v>
      </c>
      <c r="B1178" s="673" t="s">
        <v>1204</v>
      </c>
      <c r="C1178" s="296" t="s">
        <v>1794</v>
      </c>
      <c r="D1178" s="310"/>
      <c r="E1178" s="319"/>
      <c r="F1178" s="319"/>
      <c r="G1178" s="319">
        <f t="shared" si="35"/>
        <v>0</v>
      </c>
    </row>
    <row r="1179" spans="1:7">
      <c r="A1179" s="299" t="s">
        <v>1948</v>
      </c>
      <c r="B1179" s="672">
        <v>400100000000000</v>
      </c>
      <c r="C1179" s="300" t="s">
        <v>1203</v>
      </c>
      <c r="D1179" s="311"/>
      <c r="E1179" s="322">
        <v>710792.57</v>
      </c>
      <c r="F1179" s="322">
        <v>636118.16</v>
      </c>
      <c r="G1179" s="322">
        <f t="shared" si="35"/>
        <v>74674.409999999916</v>
      </c>
    </row>
    <row r="1180" spans="1:7" ht="25.5">
      <c r="A1180" s="309" t="s">
        <v>1946</v>
      </c>
      <c r="B1180" s="673" t="s">
        <v>1206</v>
      </c>
      <c r="C1180" s="296" t="s">
        <v>1795</v>
      </c>
      <c r="D1180" s="310"/>
      <c r="E1180" s="319"/>
      <c r="F1180" s="319"/>
      <c r="G1180" s="319">
        <f t="shared" si="35"/>
        <v>0</v>
      </c>
    </row>
    <row r="1181" spans="1:7" ht="24">
      <c r="A1181" s="299" t="s">
        <v>1948</v>
      </c>
      <c r="B1181" s="672">
        <v>400200000000000</v>
      </c>
      <c r="C1181" s="300" t="s">
        <v>1205</v>
      </c>
      <c r="D1181" s="311"/>
      <c r="E1181" s="322">
        <v>234200.67</v>
      </c>
      <c r="F1181" s="322">
        <v>227971.71</v>
      </c>
      <c r="G1181" s="322">
        <f t="shared" si="35"/>
        <v>6228.960000000021</v>
      </c>
    </row>
    <row r="1182" spans="1:7" ht="25.5">
      <c r="A1182" s="309" t="s">
        <v>1946</v>
      </c>
      <c r="B1182" s="673" t="s">
        <v>1208</v>
      </c>
      <c r="C1182" s="296" t="s">
        <v>1796</v>
      </c>
      <c r="D1182" s="310"/>
      <c r="E1182" s="319"/>
      <c r="F1182" s="319"/>
      <c r="G1182" s="319">
        <f t="shared" si="35"/>
        <v>0</v>
      </c>
    </row>
    <row r="1183" spans="1:7">
      <c r="A1183" s="299" t="s">
        <v>1948</v>
      </c>
      <c r="B1183" s="672">
        <v>400300000000000</v>
      </c>
      <c r="C1183" s="300" t="s">
        <v>1207</v>
      </c>
      <c r="D1183" s="311"/>
      <c r="E1183" s="322"/>
      <c r="F1183" s="322"/>
      <c r="G1183" s="322">
        <f t="shared" si="35"/>
        <v>0</v>
      </c>
    </row>
    <row r="1184" spans="1:7">
      <c r="A1184" s="309" t="s">
        <v>1946</v>
      </c>
      <c r="B1184" s="673" t="s">
        <v>1210</v>
      </c>
      <c r="C1184" s="296" t="s">
        <v>1797</v>
      </c>
      <c r="D1184" s="310"/>
      <c r="E1184" s="319"/>
      <c r="F1184" s="319"/>
      <c r="G1184" s="319">
        <f t="shared" si="35"/>
        <v>0</v>
      </c>
    </row>
    <row r="1185" spans="1:7">
      <c r="A1185" s="299" t="s">
        <v>1948</v>
      </c>
      <c r="B1185" s="672">
        <v>400400000000000</v>
      </c>
      <c r="C1185" s="300" t="s">
        <v>1209</v>
      </c>
      <c r="D1185" s="311"/>
      <c r="E1185" s="322"/>
      <c r="F1185" s="322"/>
      <c r="G1185" s="322">
        <f t="shared" si="35"/>
        <v>0</v>
      </c>
    </row>
    <row r="1186" spans="1:7">
      <c r="A1186" s="309" t="s">
        <v>1944</v>
      </c>
      <c r="B1186" s="673" t="s">
        <v>1211</v>
      </c>
      <c r="C1186" s="296" t="s">
        <v>1798</v>
      </c>
      <c r="D1186" s="310"/>
      <c r="E1186" s="319"/>
      <c r="F1186" s="319"/>
      <c r="G1186" s="319">
        <f t="shared" ref="G1186:G1194" si="36">E1186-F1186</f>
        <v>0</v>
      </c>
    </row>
    <row r="1187" spans="1:7">
      <c r="A1187" s="309" t="s">
        <v>1946</v>
      </c>
      <c r="B1187" s="673" t="s">
        <v>1213</v>
      </c>
      <c r="C1187" s="296" t="s">
        <v>1799</v>
      </c>
      <c r="D1187" s="310"/>
      <c r="E1187" s="319"/>
      <c r="F1187" s="319"/>
      <c r="G1187" s="319">
        <f t="shared" si="36"/>
        <v>0</v>
      </c>
    </row>
    <row r="1188" spans="1:7">
      <c r="A1188" s="299" t="s">
        <v>1948</v>
      </c>
      <c r="B1188" s="672">
        <v>405100000000000</v>
      </c>
      <c r="C1188" s="300" t="s">
        <v>1212</v>
      </c>
      <c r="D1188" s="311"/>
      <c r="E1188" s="322"/>
      <c r="F1188" s="322"/>
      <c r="G1188" s="322">
        <f t="shared" si="36"/>
        <v>0</v>
      </c>
    </row>
    <row r="1189" spans="1:7">
      <c r="A1189" s="309" t="s">
        <v>1946</v>
      </c>
      <c r="B1189" s="673" t="s">
        <v>1215</v>
      </c>
      <c r="C1189" s="296" t="s">
        <v>1800</v>
      </c>
      <c r="D1189" s="310"/>
      <c r="E1189" s="319"/>
      <c r="F1189" s="319"/>
      <c r="G1189" s="319">
        <f t="shared" si="36"/>
        <v>0</v>
      </c>
    </row>
    <row r="1190" spans="1:7">
      <c r="A1190" s="299" t="s">
        <v>1948</v>
      </c>
      <c r="B1190" s="672">
        <v>405200000000000</v>
      </c>
      <c r="C1190" s="300" t="s">
        <v>1214</v>
      </c>
      <c r="D1190" s="311"/>
      <c r="E1190" s="322">
        <v>166456.83359999271</v>
      </c>
      <c r="F1190" s="322"/>
      <c r="G1190" s="322">
        <f t="shared" si="36"/>
        <v>166456.83359999271</v>
      </c>
    </row>
    <row r="1191" spans="1:7" ht="25.5">
      <c r="A1191" s="309" t="s">
        <v>1944</v>
      </c>
      <c r="B1191" s="673" t="s">
        <v>1217</v>
      </c>
      <c r="C1191" s="296" t="s">
        <v>1801</v>
      </c>
      <c r="D1191" s="310"/>
      <c r="E1191" s="319"/>
      <c r="F1191" s="319"/>
      <c r="G1191" s="319">
        <f t="shared" si="36"/>
        <v>0</v>
      </c>
    </row>
    <row r="1192" spans="1:7" ht="24">
      <c r="A1192" s="299" t="s">
        <v>1946</v>
      </c>
      <c r="B1192" s="672">
        <v>410000000000000</v>
      </c>
      <c r="C1192" s="300" t="s">
        <v>1216</v>
      </c>
      <c r="D1192" s="311"/>
      <c r="E1192" s="322"/>
      <c r="F1192" s="322"/>
      <c r="G1192" s="322">
        <f t="shared" si="36"/>
        <v>0</v>
      </c>
    </row>
    <row r="1193" spans="1:7" s="668" customFormat="1">
      <c r="A1193" s="299"/>
      <c r="B1193" s="299"/>
      <c r="C1193" s="300" t="s">
        <v>2578</v>
      </c>
      <c r="D1193" s="311"/>
      <c r="E1193" s="322">
        <f>SUM(E7:E1192)</f>
        <v>510381872.98360014</v>
      </c>
      <c r="F1193" s="322">
        <f>SUM(F7:F1192)</f>
        <v>456596472.36000007</v>
      </c>
      <c r="G1193" s="322">
        <f t="shared" si="36"/>
        <v>53785400.623600066</v>
      </c>
    </row>
    <row r="1194" spans="1:7">
      <c r="F1194" s="670">
        <f>+F1193-'[3]Alimentazione CE Costi'!$H$895</f>
        <v>0</v>
      </c>
      <c r="G1194" s="670">
        <f t="shared" si="36"/>
        <v>0</v>
      </c>
    </row>
  </sheetData>
  <autoFilter ref="A1:F1194"/>
  <conditionalFormatting sqref="B669:B671">
    <cfRule type="duplicateValues" dxfId="176" priority="178"/>
  </conditionalFormatting>
  <conditionalFormatting sqref="B673:B675">
    <cfRule type="duplicateValues" dxfId="175" priority="179"/>
  </conditionalFormatting>
  <conditionalFormatting sqref="B676:B679 B690:B693 B704:B707 B681 B695">
    <cfRule type="duplicateValues" dxfId="174" priority="186"/>
  </conditionalFormatting>
  <conditionalFormatting sqref="B683">
    <cfRule type="duplicateValues" dxfId="173" priority="182"/>
  </conditionalFormatting>
  <conditionalFormatting sqref="B684:B685">
    <cfRule type="duplicateValues" dxfId="172" priority="180"/>
  </conditionalFormatting>
  <conditionalFormatting sqref="B687:B689">
    <cfRule type="duplicateValues" dxfId="171" priority="181"/>
  </conditionalFormatting>
  <conditionalFormatting sqref="B697">
    <cfRule type="duplicateValues" dxfId="170" priority="185"/>
  </conditionalFormatting>
  <conditionalFormatting sqref="B698:B699">
    <cfRule type="duplicateValues" dxfId="169" priority="183"/>
  </conditionalFormatting>
  <conditionalFormatting sqref="B701:B703">
    <cfRule type="duplicateValues" dxfId="168" priority="184"/>
  </conditionalFormatting>
  <conditionalFormatting sqref="B704:B707 B681 B690:B693 B695">
    <cfRule type="duplicateValues" dxfId="167" priority="187"/>
  </conditionalFormatting>
  <conditionalFormatting sqref="B736">
    <cfRule type="duplicateValues" dxfId="166" priority="143"/>
  </conditionalFormatting>
  <conditionalFormatting sqref="B737:B738">
    <cfRule type="duplicateValues" dxfId="165" priority="141"/>
  </conditionalFormatting>
  <conditionalFormatting sqref="B740:B742">
    <cfRule type="duplicateValues" dxfId="164" priority="142"/>
  </conditionalFormatting>
  <conditionalFormatting sqref="B743:B746">
    <cfRule type="duplicateValues" dxfId="163" priority="140"/>
  </conditionalFormatting>
  <conditionalFormatting sqref="B750">
    <cfRule type="duplicateValues" dxfId="162" priority="130"/>
  </conditionalFormatting>
  <conditionalFormatting sqref="B751:B752">
    <cfRule type="duplicateValues" dxfId="161" priority="128"/>
  </conditionalFormatting>
  <conditionalFormatting sqref="B754:B756">
    <cfRule type="duplicateValues" dxfId="160" priority="129"/>
  </conditionalFormatting>
  <conditionalFormatting sqref="B757:B760">
    <cfRule type="duplicateValues" dxfId="159" priority="127"/>
  </conditionalFormatting>
  <conditionalFormatting sqref="B787">
    <cfRule type="duplicateValues" dxfId="158" priority="94"/>
  </conditionalFormatting>
  <conditionalFormatting sqref="B789">
    <cfRule type="duplicateValues" dxfId="157" priority="92"/>
  </conditionalFormatting>
  <conditionalFormatting sqref="B790">
    <cfRule type="duplicateValues" dxfId="156" priority="112"/>
  </conditionalFormatting>
  <conditionalFormatting sqref="B791:B792">
    <cfRule type="duplicateValues" dxfId="155" priority="110"/>
  </conditionalFormatting>
  <conditionalFormatting sqref="B793">
    <cfRule type="duplicateValues" dxfId="154" priority="90"/>
  </conditionalFormatting>
  <conditionalFormatting sqref="B794:B796">
    <cfRule type="duplicateValues" dxfId="153" priority="111"/>
  </conditionalFormatting>
  <conditionalFormatting sqref="B797:B800">
    <cfRule type="duplicateValues" dxfId="152" priority="109"/>
  </conditionalFormatting>
  <conditionalFormatting sqref="B801">
    <cfRule type="duplicateValues" dxfId="151" priority="88"/>
  </conditionalFormatting>
  <conditionalFormatting sqref="B803">
    <cfRule type="duplicateValues" dxfId="150" priority="86"/>
  </conditionalFormatting>
  <conditionalFormatting sqref="B804">
    <cfRule type="duplicateValues" dxfId="149" priority="115"/>
  </conditionalFormatting>
  <conditionalFormatting sqref="B805:B806">
    <cfRule type="duplicateValues" dxfId="148" priority="113"/>
  </conditionalFormatting>
  <conditionalFormatting sqref="B807">
    <cfRule type="duplicateValues" dxfId="147" priority="84"/>
  </conditionalFormatting>
  <conditionalFormatting sqref="B808:B810">
    <cfRule type="duplicateValues" dxfId="146" priority="114"/>
  </conditionalFormatting>
  <conditionalFormatting sqref="B811:B814 B802">
    <cfRule type="duplicateValues" dxfId="145" priority="116"/>
  </conditionalFormatting>
  <conditionalFormatting sqref="B816">
    <cfRule type="duplicateValues" dxfId="144" priority="82"/>
  </conditionalFormatting>
  <conditionalFormatting sqref="B818">
    <cfRule type="duplicateValues" dxfId="143" priority="58"/>
  </conditionalFormatting>
  <conditionalFormatting sqref="B819">
    <cfRule type="duplicateValues" dxfId="142" priority="76"/>
  </conditionalFormatting>
  <conditionalFormatting sqref="B820:B821">
    <cfRule type="duplicateValues" dxfId="141" priority="74"/>
  </conditionalFormatting>
  <conditionalFormatting sqref="B822">
    <cfRule type="duplicateValues" dxfId="140" priority="56"/>
  </conditionalFormatting>
  <conditionalFormatting sqref="B823:B825">
    <cfRule type="duplicateValues" dxfId="139" priority="75"/>
  </conditionalFormatting>
  <conditionalFormatting sqref="B826:B829">
    <cfRule type="duplicateValues" dxfId="138" priority="73"/>
  </conditionalFormatting>
  <conditionalFormatting sqref="B830">
    <cfRule type="duplicateValues" dxfId="137" priority="54"/>
  </conditionalFormatting>
  <conditionalFormatting sqref="B832">
    <cfRule type="duplicateValues" dxfId="136" priority="52"/>
  </conditionalFormatting>
  <conditionalFormatting sqref="B833">
    <cfRule type="duplicateValues" dxfId="135" priority="79"/>
  </conditionalFormatting>
  <conditionalFormatting sqref="B834:B835">
    <cfRule type="duplicateValues" dxfId="134" priority="77"/>
  </conditionalFormatting>
  <conditionalFormatting sqref="B836">
    <cfRule type="duplicateValues" dxfId="133" priority="50"/>
  </conditionalFormatting>
  <conditionalFormatting sqref="B837:B839">
    <cfRule type="duplicateValues" dxfId="132" priority="78"/>
  </conditionalFormatting>
  <conditionalFormatting sqref="B840:B843 B831">
    <cfRule type="duplicateValues" dxfId="131" priority="80"/>
  </conditionalFormatting>
  <conditionalFormatting sqref="B850:B856">
    <cfRule type="duplicateValues" dxfId="130" priority="48"/>
  </conditionalFormatting>
  <conditionalFormatting sqref="B859:B865">
    <cfRule type="duplicateValues" dxfId="129" priority="46"/>
  </conditionalFormatting>
  <conditionalFormatting sqref="B871">
    <cfRule type="duplicateValues" dxfId="128" priority="33"/>
  </conditionalFormatting>
  <conditionalFormatting sqref="B872">
    <cfRule type="duplicateValues" dxfId="127" priority="44"/>
  </conditionalFormatting>
  <conditionalFormatting sqref="B873:B874">
    <cfRule type="duplicateValues" dxfId="126" priority="42"/>
  </conditionalFormatting>
  <conditionalFormatting sqref="B875">
    <cfRule type="duplicateValues" dxfId="125" priority="31"/>
  </conditionalFormatting>
  <conditionalFormatting sqref="B876:B878">
    <cfRule type="duplicateValues" dxfId="124" priority="43"/>
  </conditionalFormatting>
  <conditionalFormatting sqref="B879:B882">
    <cfRule type="duplicateValues" dxfId="123" priority="41"/>
  </conditionalFormatting>
  <conditionalFormatting sqref="B885">
    <cfRule type="duplicateValues" dxfId="122" priority="18"/>
  </conditionalFormatting>
  <conditionalFormatting sqref="B886">
    <cfRule type="duplicateValues" dxfId="121" priority="29"/>
  </conditionalFormatting>
  <conditionalFormatting sqref="B887:B888">
    <cfRule type="duplicateValues" dxfId="120" priority="27"/>
  </conditionalFormatting>
  <conditionalFormatting sqref="B889">
    <cfRule type="duplicateValues" dxfId="119" priority="16"/>
  </conditionalFormatting>
  <conditionalFormatting sqref="B890">
    <cfRule type="duplicateValues" dxfId="118" priority="1"/>
    <cfRule type="duplicateValues" dxfId="117" priority="2"/>
  </conditionalFormatting>
  <conditionalFormatting sqref="B891:B892">
    <cfRule type="duplicateValues" dxfId="116" priority="28"/>
  </conditionalFormatting>
  <conditionalFormatting sqref="B893:B896">
    <cfRule type="duplicateValues" dxfId="115" priority="26"/>
  </conditionalFormatting>
  <conditionalFormatting sqref="B1102">
    <cfRule type="duplicateValues" dxfId="114" priority="7"/>
  </conditionalFormatting>
  <conditionalFormatting sqref="B1116">
    <cfRule type="duplicateValues" dxfId="113" priority="5"/>
  </conditionalFormatting>
  <conditionalFormatting sqref="B1120:B1192 B2:B889 B1103:B1115 B1194:B1048576 B891:B1101">
    <cfRule type="duplicateValues" dxfId="112" priority="9"/>
  </conditionalFormatting>
  <conditionalFormatting sqref="B1193">
    <cfRule type="duplicateValues" dxfId="111" priority="3"/>
  </conditionalFormatting>
  <conditionalFormatting sqref="C668">
    <cfRule type="duplicateValues" dxfId="110" priority="172"/>
  </conditionalFormatting>
  <conditionalFormatting sqref="C669">
    <cfRule type="duplicateValues" dxfId="109" priority="173"/>
  </conditionalFormatting>
  <conditionalFormatting sqref="C670">
    <cfRule type="duplicateValues" dxfId="108" priority="171"/>
  </conditionalFormatting>
  <conditionalFormatting sqref="C671">
    <cfRule type="duplicateValues" dxfId="107" priority="170"/>
  </conditionalFormatting>
  <conditionalFormatting sqref="C672">
    <cfRule type="duplicateValues" dxfId="106" priority="150"/>
  </conditionalFormatting>
  <conditionalFormatting sqref="C673">
    <cfRule type="duplicateValues" dxfId="105" priority="169"/>
  </conditionalFormatting>
  <conditionalFormatting sqref="C674">
    <cfRule type="duplicateValues" dxfId="104" priority="168"/>
  </conditionalFormatting>
  <conditionalFormatting sqref="C675">
    <cfRule type="duplicateValues" dxfId="103" priority="167"/>
  </conditionalFormatting>
  <conditionalFormatting sqref="C676:C679">
    <cfRule type="duplicateValues" dxfId="102" priority="174"/>
  </conditionalFormatting>
  <conditionalFormatting sqref="C680">
    <cfRule type="duplicateValues" dxfId="101" priority="149"/>
  </conditionalFormatting>
  <conditionalFormatting sqref="C682">
    <cfRule type="duplicateValues" dxfId="100" priority="148"/>
  </conditionalFormatting>
  <conditionalFormatting sqref="C683">
    <cfRule type="duplicateValues" dxfId="99" priority="161"/>
  </conditionalFormatting>
  <conditionalFormatting sqref="C684">
    <cfRule type="duplicateValues" dxfId="98" priority="166"/>
  </conditionalFormatting>
  <conditionalFormatting sqref="C685">
    <cfRule type="duplicateValues" dxfId="97" priority="165"/>
  </conditionalFormatting>
  <conditionalFormatting sqref="C686">
    <cfRule type="duplicateValues" dxfId="96" priority="147"/>
  </conditionalFormatting>
  <conditionalFormatting sqref="C687">
    <cfRule type="duplicateValues" dxfId="95" priority="164"/>
  </conditionalFormatting>
  <conditionalFormatting sqref="C688">
    <cfRule type="duplicateValues" dxfId="94" priority="163"/>
  </conditionalFormatting>
  <conditionalFormatting sqref="C689">
    <cfRule type="duplicateValues" dxfId="93" priority="162"/>
  </conditionalFormatting>
  <conditionalFormatting sqref="C690:C693 C681">
    <cfRule type="duplicateValues" dxfId="92" priority="175"/>
  </conditionalFormatting>
  <conditionalFormatting sqref="C694">
    <cfRule type="duplicateValues" dxfId="91" priority="146"/>
  </conditionalFormatting>
  <conditionalFormatting sqref="C696">
    <cfRule type="duplicateValues" dxfId="90" priority="145"/>
  </conditionalFormatting>
  <conditionalFormatting sqref="C697">
    <cfRule type="duplicateValues" dxfId="89" priority="152"/>
  </conditionalFormatting>
  <conditionalFormatting sqref="C698">
    <cfRule type="duplicateValues" dxfId="88" priority="157"/>
  </conditionalFormatting>
  <conditionalFormatting sqref="C699">
    <cfRule type="duplicateValues" dxfId="87" priority="156"/>
  </conditionalFormatting>
  <conditionalFormatting sqref="C700">
    <cfRule type="duplicateValues" dxfId="86" priority="144"/>
  </conditionalFormatting>
  <conditionalFormatting sqref="C701">
    <cfRule type="duplicateValues" dxfId="85" priority="155"/>
  </conditionalFormatting>
  <conditionalFormatting sqref="C702">
    <cfRule type="duplicateValues" dxfId="84" priority="154"/>
  </conditionalFormatting>
  <conditionalFormatting sqref="C703">
    <cfRule type="duplicateValues" dxfId="83" priority="153"/>
  </conditionalFormatting>
  <conditionalFormatting sqref="C704:C707 C681 C690:C693 C695">
    <cfRule type="duplicateValues" dxfId="82" priority="177"/>
  </conditionalFormatting>
  <conditionalFormatting sqref="C704:C707 C695">
    <cfRule type="duplicateValues" dxfId="81" priority="176"/>
  </conditionalFormatting>
  <conditionalFormatting sqref="C735">
    <cfRule type="duplicateValues" dxfId="80" priority="132"/>
  </conditionalFormatting>
  <conditionalFormatting sqref="C736">
    <cfRule type="duplicateValues" dxfId="79" priority="133"/>
  </conditionalFormatting>
  <conditionalFormatting sqref="C737">
    <cfRule type="duplicateValues" dxfId="78" priority="138"/>
  </conditionalFormatting>
  <conditionalFormatting sqref="C738">
    <cfRule type="duplicateValues" dxfId="77" priority="137"/>
  </conditionalFormatting>
  <conditionalFormatting sqref="C739">
    <cfRule type="duplicateValues" dxfId="76" priority="131"/>
  </conditionalFormatting>
  <conditionalFormatting sqref="C740">
    <cfRule type="duplicateValues" dxfId="75" priority="136"/>
  </conditionalFormatting>
  <conditionalFormatting sqref="C741">
    <cfRule type="duplicateValues" dxfId="74" priority="135"/>
  </conditionalFormatting>
  <conditionalFormatting sqref="C742">
    <cfRule type="duplicateValues" dxfId="73" priority="134"/>
  </conditionalFormatting>
  <conditionalFormatting sqref="C743:C746">
    <cfRule type="duplicateValues" dxfId="72" priority="139"/>
  </conditionalFormatting>
  <conditionalFormatting sqref="C749">
    <cfRule type="duplicateValues" dxfId="71" priority="119"/>
  </conditionalFormatting>
  <conditionalFormatting sqref="C750">
    <cfRule type="duplicateValues" dxfId="70" priority="120"/>
  </conditionalFormatting>
  <conditionalFormatting sqref="C751">
    <cfRule type="duplicateValues" dxfId="69" priority="125"/>
  </conditionalFormatting>
  <conditionalFormatting sqref="C752">
    <cfRule type="duplicateValues" dxfId="68" priority="124"/>
  </conditionalFormatting>
  <conditionalFormatting sqref="C753">
    <cfRule type="duplicateValues" dxfId="67" priority="118"/>
  </conditionalFormatting>
  <conditionalFormatting sqref="C754">
    <cfRule type="duplicateValues" dxfId="66" priority="123"/>
  </conditionalFormatting>
  <conditionalFormatting sqref="C755">
    <cfRule type="duplicateValues" dxfId="65" priority="122"/>
  </conditionalFormatting>
  <conditionalFormatting sqref="C756">
    <cfRule type="duplicateValues" dxfId="64" priority="121"/>
  </conditionalFormatting>
  <conditionalFormatting sqref="C757:C760">
    <cfRule type="duplicateValues" dxfId="63" priority="126"/>
  </conditionalFormatting>
  <conditionalFormatting sqref="C776:C782">
    <cfRule type="duplicateValues" dxfId="62" priority="117"/>
  </conditionalFormatting>
  <conditionalFormatting sqref="C787">
    <cfRule type="duplicateValues" dxfId="61" priority="93"/>
  </conditionalFormatting>
  <conditionalFormatting sqref="C789">
    <cfRule type="duplicateValues" dxfId="60" priority="91"/>
  </conditionalFormatting>
  <conditionalFormatting sqref="C790">
    <cfRule type="duplicateValues" dxfId="59" priority="101"/>
  </conditionalFormatting>
  <conditionalFormatting sqref="C791">
    <cfRule type="duplicateValues" dxfId="58" priority="106"/>
  </conditionalFormatting>
  <conditionalFormatting sqref="C792">
    <cfRule type="duplicateValues" dxfId="57" priority="105"/>
  </conditionalFormatting>
  <conditionalFormatting sqref="C793">
    <cfRule type="duplicateValues" dxfId="56" priority="89"/>
  </conditionalFormatting>
  <conditionalFormatting sqref="C794">
    <cfRule type="duplicateValues" dxfId="55" priority="104"/>
  </conditionalFormatting>
  <conditionalFormatting sqref="C795">
    <cfRule type="duplicateValues" dxfId="54" priority="103"/>
  </conditionalFormatting>
  <conditionalFormatting sqref="C796">
    <cfRule type="duplicateValues" dxfId="53" priority="102"/>
  </conditionalFormatting>
  <conditionalFormatting sqref="C797:C800">
    <cfRule type="duplicateValues" dxfId="52" priority="107"/>
  </conditionalFormatting>
  <conditionalFormatting sqref="C801">
    <cfRule type="duplicateValues" dxfId="51" priority="87"/>
  </conditionalFormatting>
  <conditionalFormatting sqref="C803">
    <cfRule type="duplicateValues" dxfId="50" priority="85"/>
  </conditionalFormatting>
  <conditionalFormatting sqref="C804">
    <cfRule type="duplicateValues" dxfId="49" priority="95"/>
  </conditionalFormatting>
  <conditionalFormatting sqref="C805">
    <cfRule type="duplicateValues" dxfId="48" priority="100"/>
  </conditionalFormatting>
  <conditionalFormatting sqref="C806">
    <cfRule type="duplicateValues" dxfId="47" priority="99"/>
  </conditionalFormatting>
  <conditionalFormatting sqref="C807">
    <cfRule type="duplicateValues" dxfId="46" priority="83"/>
  </conditionalFormatting>
  <conditionalFormatting sqref="C808">
    <cfRule type="duplicateValues" dxfId="45" priority="98"/>
  </conditionalFormatting>
  <conditionalFormatting sqref="C809">
    <cfRule type="duplicateValues" dxfId="44" priority="97"/>
  </conditionalFormatting>
  <conditionalFormatting sqref="C810">
    <cfRule type="duplicateValues" dxfId="43" priority="96"/>
  </conditionalFormatting>
  <conditionalFormatting sqref="C811:C814 C802">
    <cfRule type="duplicateValues" dxfId="42" priority="108"/>
  </conditionalFormatting>
  <conditionalFormatting sqref="C816">
    <cfRule type="duplicateValues" dxfId="41" priority="81"/>
  </conditionalFormatting>
  <conditionalFormatting sqref="C818">
    <cfRule type="duplicateValues" dxfId="40" priority="57"/>
  </conditionalFormatting>
  <conditionalFormatting sqref="C819">
    <cfRule type="duplicateValues" dxfId="39" priority="65"/>
  </conditionalFormatting>
  <conditionalFormatting sqref="C820">
    <cfRule type="duplicateValues" dxfId="38" priority="70"/>
  </conditionalFormatting>
  <conditionalFormatting sqref="C821">
    <cfRule type="duplicateValues" dxfId="37" priority="69"/>
  </conditionalFormatting>
  <conditionalFormatting sqref="C822">
    <cfRule type="duplicateValues" dxfId="36" priority="55"/>
  </conditionalFormatting>
  <conditionalFormatting sqref="C823">
    <cfRule type="duplicateValues" dxfId="35" priority="68"/>
  </conditionalFormatting>
  <conditionalFormatting sqref="C824">
    <cfRule type="duplicateValues" dxfId="34" priority="67"/>
  </conditionalFormatting>
  <conditionalFormatting sqref="C825">
    <cfRule type="duplicateValues" dxfId="33" priority="66"/>
  </conditionalFormatting>
  <conditionalFormatting sqref="C826:C829">
    <cfRule type="duplicateValues" dxfId="32" priority="71"/>
  </conditionalFormatting>
  <conditionalFormatting sqref="C830">
    <cfRule type="duplicateValues" dxfId="31" priority="53"/>
  </conditionalFormatting>
  <conditionalFormatting sqref="C832">
    <cfRule type="duplicateValues" dxfId="30" priority="51"/>
  </conditionalFormatting>
  <conditionalFormatting sqref="C833">
    <cfRule type="duplicateValues" dxfId="29" priority="59"/>
  </conditionalFormatting>
  <conditionalFormatting sqref="C834">
    <cfRule type="duplicateValues" dxfId="28" priority="64"/>
  </conditionalFormatting>
  <conditionalFormatting sqref="C835">
    <cfRule type="duplicateValues" dxfId="27" priority="63"/>
  </conditionalFormatting>
  <conditionalFormatting sqref="C836">
    <cfRule type="duplicateValues" dxfId="26" priority="49"/>
  </conditionalFormatting>
  <conditionalFormatting sqref="C837">
    <cfRule type="duplicateValues" dxfId="25" priority="62"/>
  </conditionalFormatting>
  <conditionalFormatting sqref="C838">
    <cfRule type="duplicateValues" dxfId="24" priority="61"/>
  </conditionalFormatting>
  <conditionalFormatting sqref="C839">
    <cfRule type="duplicateValues" dxfId="23" priority="60"/>
  </conditionalFormatting>
  <conditionalFormatting sqref="C840:C843 C831">
    <cfRule type="duplicateValues" dxfId="22" priority="72"/>
  </conditionalFormatting>
  <conditionalFormatting sqref="C850:C856">
    <cfRule type="duplicateValues" dxfId="21" priority="47"/>
  </conditionalFormatting>
  <conditionalFormatting sqref="C859:C865">
    <cfRule type="duplicateValues" dxfId="20" priority="45"/>
  </conditionalFormatting>
  <conditionalFormatting sqref="C871">
    <cfRule type="duplicateValues" dxfId="19" priority="32"/>
  </conditionalFormatting>
  <conditionalFormatting sqref="C872">
    <cfRule type="duplicateValues" dxfId="18" priority="34"/>
  </conditionalFormatting>
  <conditionalFormatting sqref="C873">
    <cfRule type="duplicateValues" dxfId="17" priority="39"/>
  </conditionalFormatting>
  <conditionalFormatting sqref="C874">
    <cfRule type="duplicateValues" dxfId="16" priority="38"/>
  </conditionalFormatting>
  <conditionalFormatting sqref="C875">
    <cfRule type="duplicateValues" dxfId="15" priority="30"/>
  </conditionalFormatting>
  <conditionalFormatting sqref="C876">
    <cfRule type="duplicateValues" dxfId="14" priority="37"/>
  </conditionalFormatting>
  <conditionalFormatting sqref="C877">
    <cfRule type="duplicateValues" dxfId="13" priority="36"/>
  </conditionalFormatting>
  <conditionalFormatting sqref="C878">
    <cfRule type="duplicateValues" dxfId="12" priority="35"/>
  </conditionalFormatting>
  <conditionalFormatting sqref="C879:C882">
    <cfRule type="duplicateValues" dxfId="11" priority="40"/>
  </conditionalFormatting>
  <conditionalFormatting sqref="C885">
    <cfRule type="duplicateValues" dxfId="10" priority="17"/>
  </conditionalFormatting>
  <conditionalFormatting sqref="C886">
    <cfRule type="duplicateValues" dxfId="9" priority="19"/>
  </conditionalFormatting>
  <conditionalFormatting sqref="C887">
    <cfRule type="duplicateValues" dxfId="8" priority="24"/>
  </conditionalFormatting>
  <conditionalFormatting sqref="C888">
    <cfRule type="duplicateValues" dxfId="7" priority="23"/>
  </conditionalFormatting>
  <conditionalFormatting sqref="C889">
    <cfRule type="duplicateValues" dxfId="6" priority="15"/>
  </conditionalFormatting>
  <conditionalFormatting sqref="C890">
    <cfRule type="duplicateValues" dxfId="5" priority="22"/>
  </conditionalFormatting>
  <conditionalFormatting sqref="C891">
    <cfRule type="duplicateValues" dxfId="4" priority="21"/>
  </conditionalFormatting>
  <conditionalFormatting sqref="C892">
    <cfRule type="duplicateValues" dxfId="3" priority="20"/>
  </conditionalFormatting>
  <conditionalFormatting sqref="C893:C896">
    <cfRule type="duplicateValues" dxfId="2" priority="25"/>
  </conditionalFormatting>
  <conditionalFormatting sqref="C1102">
    <cfRule type="duplicateValues" dxfId="1" priority="6"/>
  </conditionalFormatting>
  <conditionalFormatting sqref="C111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1" firstPageNumber="98" fitToHeight="0" orientation="portrait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2"/>
  <sheetViews>
    <sheetView topLeftCell="A328" zoomScale="90" zoomScaleNormal="90" workbookViewId="0">
      <selection activeCell="O263" sqref="O263"/>
    </sheetView>
  </sheetViews>
  <sheetFormatPr defaultColWidth="9.140625" defaultRowHeight="19.5"/>
  <cols>
    <col min="1" max="1" width="7.5703125" style="58" customWidth="1"/>
    <col min="2" max="2" width="12" style="58" customWidth="1"/>
    <col min="3" max="3" width="79.5703125" style="57" customWidth="1"/>
    <col min="4" max="4" width="30.85546875" style="351" bestFit="1" customWidth="1"/>
    <col min="5" max="5" width="24.28515625" style="57" bestFit="1" customWidth="1"/>
    <col min="6" max="6" width="3.28515625" style="354" customWidth="1"/>
    <col min="7" max="7" width="3.28515625" style="478" customWidth="1"/>
    <col min="8" max="9" width="3.28515625" style="57" customWidth="1"/>
    <col min="10" max="10" width="9.140625" style="57"/>
    <col min="11" max="11" width="12.7109375" style="57" bestFit="1" customWidth="1"/>
    <col min="12" max="150" width="9.140625" style="57"/>
    <col min="151" max="158" width="9.140625" style="57" customWidth="1"/>
    <col min="159" max="159" width="10.140625" style="57" customWidth="1"/>
    <col min="160" max="160" width="1" style="57" customWidth="1"/>
    <col min="161" max="163" width="3.28515625" style="57" customWidth="1"/>
    <col min="164" max="164" width="1.85546875" style="57" customWidth="1"/>
    <col min="165" max="165" width="17.85546875" style="57" customWidth="1"/>
    <col min="166" max="166" width="1.85546875" style="57" customWidth="1"/>
    <col min="167" max="169" width="3.28515625" style="57" customWidth="1"/>
    <col min="170" max="170" width="2.85546875" style="57" customWidth="1"/>
    <col min="171" max="171" width="1.85546875" style="57" customWidth="1"/>
    <col min="172" max="172" width="19.7109375" style="57" customWidth="1"/>
    <col min="173" max="173" width="1.85546875" style="57" customWidth="1"/>
    <col min="174" max="176" width="3" style="57" customWidth="1"/>
    <col min="177" max="177" width="4.42578125" style="57" customWidth="1"/>
    <col min="178" max="179" width="3" style="57" customWidth="1"/>
    <col min="180" max="185" width="3.28515625" style="57" customWidth="1"/>
    <col min="186" max="187" width="9.140625" style="57" customWidth="1"/>
    <col min="188" max="191" width="3.28515625" style="57" customWidth="1"/>
    <col min="192" max="192" width="4.140625" style="57" customWidth="1"/>
    <col min="193" max="193" width="1.7109375" style="57" customWidth="1"/>
    <col min="194" max="198" width="3.28515625" style="57" customWidth="1"/>
    <col min="199" max="199" width="1.7109375" style="57" customWidth="1"/>
    <col min="200" max="204" width="3.28515625" style="57" customWidth="1"/>
    <col min="205" max="210" width="9.140625" style="57" customWidth="1"/>
    <col min="211" max="211" width="1.7109375" style="57" customWidth="1"/>
    <col min="212" max="216" width="3.28515625" style="57" customWidth="1"/>
    <col min="217" max="217" width="1.7109375" style="57" customWidth="1"/>
    <col min="218" max="218" width="16.5703125" style="57" bestFit="1" customWidth="1"/>
    <col min="219" max="220" width="10.28515625" style="57" customWidth="1"/>
    <col min="221" max="221" width="18" style="57" bestFit="1" customWidth="1"/>
    <col min="222" max="406" width="9.140625" style="57"/>
    <col min="407" max="414" width="9.140625" style="57" customWidth="1"/>
    <col min="415" max="415" width="10.140625" style="57" customWidth="1"/>
    <col min="416" max="416" width="1" style="57" customWidth="1"/>
    <col min="417" max="419" width="3.28515625" style="57" customWidth="1"/>
    <col min="420" max="420" width="1.85546875" style="57" customWidth="1"/>
    <col min="421" max="421" width="17.85546875" style="57" customWidth="1"/>
    <col min="422" max="422" width="1.85546875" style="57" customWidth="1"/>
    <col min="423" max="425" width="3.28515625" style="57" customWidth="1"/>
    <col min="426" max="426" width="2.85546875" style="57" customWidth="1"/>
    <col min="427" max="427" width="1.85546875" style="57" customWidth="1"/>
    <col min="428" max="428" width="19.7109375" style="57" customWidth="1"/>
    <col min="429" max="429" width="1.85546875" style="57" customWidth="1"/>
    <col min="430" max="432" width="3" style="57" customWidth="1"/>
    <col min="433" max="433" width="4.42578125" style="57" customWidth="1"/>
    <col min="434" max="435" width="3" style="57" customWidth="1"/>
    <col min="436" max="441" width="3.28515625" style="57" customWidth="1"/>
    <col min="442" max="443" width="9.140625" style="57" customWidth="1"/>
    <col min="444" max="447" width="3.28515625" style="57" customWidth="1"/>
    <col min="448" max="448" width="4.140625" style="57" customWidth="1"/>
    <col min="449" max="449" width="1.7109375" style="57" customWidth="1"/>
    <col min="450" max="454" width="3.28515625" style="57" customWidth="1"/>
    <col min="455" max="455" width="1.7109375" style="57" customWidth="1"/>
    <col min="456" max="460" width="3.28515625" style="57" customWidth="1"/>
    <col min="461" max="466" width="9.140625" style="57" customWidth="1"/>
    <col min="467" max="467" width="1.7109375" style="57" customWidth="1"/>
    <col min="468" max="472" width="3.28515625" style="57" customWidth="1"/>
    <col min="473" max="473" width="1.7109375" style="57" customWidth="1"/>
    <col min="474" max="474" width="16.5703125" style="57" bestFit="1" customWidth="1"/>
    <col min="475" max="476" width="10.28515625" style="57" customWidth="1"/>
    <col min="477" max="477" width="18" style="57" bestFit="1" customWidth="1"/>
    <col min="478" max="662" width="9.140625" style="57"/>
    <col min="663" max="670" width="9.140625" style="57" customWidth="1"/>
    <col min="671" max="671" width="10.140625" style="57" customWidth="1"/>
    <col min="672" max="672" width="1" style="57" customWidth="1"/>
    <col min="673" max="675" width="3.28515625" style="57" customWidth="1"/>
    <col min="676" max="676" width="1.85546875" style="57" customWidth="1"/>
    <col min="677" max="677" width="17.85546875" style="57" customWidth="1"/>
    <col min="678" max="678" width="1.85546875" style="57" customWidth="1"/>
    <col min="679" max="681" width="3.28515625" style="57" customWidth="1"/>
    <col min="682" max="682" width="2.85546875" style="57" customWidth="1"/>
    <col min="683" max="683" width="1.85546875" style="57" customWidth="1"/>
    <col min="684" max="684" width="19.7109375" style="57" customWidth="1"/>
    <col min="685" max="685" width="1.85546875" style="57" customWidth="1"/>
    <col min="686" max="688" width="3" style="57" customWidth="1"/>
    <col min="689" max="689" width="4.42578125" style="57" customWidth="1"/>
    <col min="690" max="691" width="3" style="57" customWidth="1"/>
    <col min="692" max="697" width="3.28515625" style="57" customWidth="1"/>
    <col min="698" max="699" width="9.140625" style="57" customWidth="1"/>
    <col min="700" max="703" width="3.28515625" style="57" customWidth="1"/>
    <col min="704" max="704" width="4.140625" style="57" customWidth="1"/>
    <col min="705" max="705" width="1.7109375" style="57" customWidth="1"/>
    <col min="706" max="710" width="3.28515625" style="57" customWidth="1"/>
    <col min="711" max="711" width="1.7109375" style="57" customWidth="1"/>
    <col min="712" max="716" width="3.28515625" style="57" customWidth="1"/>
    <col min="717" max="722" width="9.140625" style="57" customWidth="1"/>
    <col min="723" max="723" width="1.7109375" style="57" customWidth="1"/>
    <col min="724" max="728" width="3.28515625" style="57" customWidth="1"/>
    <col min="729" max="729" width="1.7109375" style="57" customWidth="1"/>
    <col min="730" max="730" width="16.5703125" style="57" bestFit="1" customWidth="1"/>
    <col min="731" max="732" width="10.28515625" style="57" customWidth="1"/>
    <col min="733" max="733" width="18" style="57" bestFit="1" customWidth="1"/>
    <col min="734" max="918" width="9.140625" style="57"/>
    <col min="919" max="926" width="9.140625" style="57" customWidth="1"/>
    <col min="927" max="927" width="10.140625" style="57" customWidth="1"/>
    <col min="928" max="928" width="1" style="57" customWidth="1"/>
    <col min="929" max="931" width="3.28515625" style="57" customWidth="1"/>
    <col min="932" max="932" width="1.85546875" style="57" customWidth="1"/>
    <col min="933" max="933" width="17.85546875" style="57" customWidth="1"/>
    <col min="934" max="934" width="1.85546875" style="57" customWidth="1"/>
    <col min="935" max="937" width="3.28515625" style="57" customWidth="1"/>
    <col min="938" max="938" width="2.85546875" style="57" customWidth="1"/>
    <col min="939" max="939" width="1.85546875" style="57" customWidth="1"/>
    <col min="940" max="940" width="19.7109375" style="57" customWidth="1"/>
    <col min="941" max="941" width="1.85546875" style="57" customWidth="1"/>
    <col min="942" max="944" width="3" style="57" customWidth="1"/>
    <col min="945" max="945" width="4.42578125" style="57" customWidth="1"/>
    <col min="946" max="947" width="3" style="57" customWidth="1"/>
    <col min="948" max="953" width="3.28515625" style="57" customWidth="1"/>
    <col min="954" max="955" width="9.140625" style="57" customWidth="1"/>
    <col min="956" max="959" width="3.28515625" style="57" customWidth="1"/>
    <col min="960" max="960" width="4.140625" style="57" customWidth="1"/>
    <col min="961" max="961" width="1.7109375" style="57" customWidth="1"/>
    <col min="962" max="966" width="3.28515625" style="57" customWidth="1"/>
    <col min="967" max="967" width="1.7109375" style="57" customWidth="1"/>
    <col min="968" max="972" width="3.28515625" style="57" customWidth="1"/>
    <col min="973" max="978" width="9.140625" style="57" customWidth="1"/>
    <col min="979" max="979" width="1.7109375" style="57" customWidth="1"/>
    <col min="980" max="984" width="3.28515625" style="57" customWidth="1"/>
    <col min="985" max="985" width="1.7109375" style="57" customWidth="1"/>
    <col min="986" max="986" width="16.5703125" style="57" bestFit="1" customWidth="1"/>
    <col min="987" max="988" width="10.28515625" style="57" customWidth="1"/>
    <col min="989" max="989" width="18" style="57" bestFit="1" customWidth="1"/>
    <col min="990" max="1174" width="9.140625" style="57"/>
    <col min="1175" max="1182" width="9.140625" style="57" customWidth="1"/>
    <col min="1183" max="1183" width="10.140625" style="57" customWidth="1"/>
    <col min="1184" max="1184" width="1" style="57" customWidth="1"/>
    <col min="1185" max="1187" width="3.28515625" style="57" customWidth="1"/>
    <col min="1188" max="1188" width="1.85546875" style="57" customWidth="1"/>
    <col min="1189" max="1189" width="17.85546875" style="57" customWidth="1"/>
    <col min="1190" max="1190" width="1.85546875" style="57" customWidth="1"/>
    <col min="1191" max="1193" width="3.28515625" style="57" customWidth="1"/>
    <col min="1194" max="1194" width="2.85546875" style="57" customWidth="1"/>
    <col min="1195" max="1195" width="1.85546875" style="57" customWidth="1"/>
    <col min="1196" max="1196" width="19.7109375" style="57" customWidth="1"/>
    <col min="1197" max="1197" width="1.85546875" style="57" customWidth="1"/>
    <col min="1198" max="1200" width="3" style="57" customWidth="1"/>
    <col min="1201" max="1201" width="4.42578125" style="57" customWidth="1"/>
    <col min="1202" max="1203" width="3" style="57" customWidth="1"/>
    <col min="1204" max="1209" width="3.28515625" style="57" customWidth="1"/>
    <col min="1210" max="1211" width="9.140625" style="57" customWidth="1"/>
    <col min="1212" max="1215" width="3.28515625" style="57" customWidth="1"/>
    <col min="1216" max="1216" width="4.140625" style="57" customWidth="1"/>
    <col min="1217" max="1217" width="1.7109375" style="57" customWidth="1"/>
    <col min="1218" max="1222" width="3.28515625" style="57" customWidth="1"/>
    <col min="1223" max="1223" width="1.7109375" style="57" customWidth="1"/>
    <col min="1224" max="1228" width="3.28515625" style="57" customWidth="1"/>
    <col min="1229" max="1234" width="9.140625" style="57" customWidth="1"/>
    <col min="1235" max="1235" width="1.7109375" style="57" customWidth="1"/>
    <col min="1236" max="1240" width="3.28515625" style="57" customWidth="1"/>
    <col min="1241" max="1241" width="1.7109375" style="57" customWidth="1"/>
    <col min="1242" max="1242" width="16.5703125" style="57" bestFit="1" customWidth="1"/>
    <col min="1243" max="1244" width="10.28515625" style="57" customWidth="1"/>
    <col min="1245" max="1245" width="18" style="57" bestFit="1" customWidth="1"/>
    <col min="1246" max="1430" width="9.140625" style="57"/>
    <col min="1431" max="1438" width="9.140625" style="57" customWidth="1"/>
    <col min="1439" max="1439" width="10.140625" style="57" customWidth="1"/>
    <col min="1440" max="1440" width="1" style="57" customWidth="1"/>
    <col min="1441" max="1443" width="3.28515625" style="57" customWidth="1"/>
    <col min="1444" max="1444" width="1.85546875" style="57" customWidth="1"/>
    <col min="1445" max="1445" width="17.85546875" style="57" customWidth="1"/>
    <col min="1446" max="1446" width="1.85546875" style="57" customWidth="1"/>
    <col min="1447" max="1449" width="3.28515625" style="57" customWidth="1"/>
    <col min="1450" max="1450" width="2.85546875" style="57" customWidth="1"/>
    <col min="1451" max="1451" width="1.85546875" style="57" customWidth="1"/>
    <col min="1452" max="1452" width="19.7109375" style="57" customWidth="1"/>
    <col min="1453" max="1453" width="1.85546875" style="57" customWidth="1"/>
    <col min="1454" max="1456" width="3" style="57" customWidth="1"/>
    <col min="1457" max="1457" width="4.42578125" style="57" customWidth="1"/>
    <col min="1458" max="1459" width="3" style="57" customWidth="1"/>
    <col min="1460" max="1465" width="3.28515625" style="57" customWidth="1"/>
    <col min="1466" max="1467" width="9.140625" style="57" customWidth="1"/>
    <col min="1468" max="1471" width="3.28515625" style="57" customWidth="1"/>
    <col min="1472" max="1472" width="4.140625" style="57" customWidth="1"/>
    <col min="1473" max="1473" width="1.7109375" style="57" customWidth="1"/>
    <col min="1474" max="1478" width="3.28515625" style="57" customWidth="1"/>
    <col min="1479" max="1479" width="1.7109375" style="57" customWidth="1"/>
    <col min="1480" max="1484" width="3.28515625" style="57" customWidth="1"/>
    <col min="1485" max="1490" width="9.140625" style="57" customWidth="1"/>
    <col min="1491" max="1491" width="1.7109375" style="57" customWidth="1"/>
    <col min="1492" max="1496" width="3.28515625" style="57" customWidth="1"/>
    <col min="1497" max="1497" width="1.7109375" style="57" customWidth="1"/>
    <col min="1498" max="1498" width="16.5703125" style="57" bestFit="1" customWidth="1"/>
    <col min="1499" max="1500" width="10.28515625" style="57" customWidth="1"/>
    <col min="1501" max="1501" width="18" style="57" bestFit="1" customWidth="1"/>
    <col min="1502" max="1686" width="9.140625" style="57"/>
    <col min="1687" max="1694" width="9.140625" style="57" customWidth="1"/>
    <col min="1695" max="1695" width="10.140625" style="57" customWidth="1"/>
    <col min="1696" max="1696" width="1" style="57" customWidth="1"/>
    <col min="1697" max="1699" width="3.28515625" style="57" customWidth="1"/>
    <col min="1700" max="1700" width="1.85546875" style="57" customWidth="1"/>
    <col min="1701" max="1701" width="17.85546875" style="57" customWidth="1"/>
    <col min="1702" max="1702" width="1.85546875" style="57" customWidth="1"/>
    <col min="1703" max="1705" width="3.28515625" style="57" customWidth="1"/>
    <col min="1706" max="1706" width="2.85546875" style="57" customWidth="1"/>
    <col min="1707" max="1707" width="1.85546875" style="57" customWidth="1"/>
    <col min="1708" max="1708" width="19.7109375" style="57" customWidth="1"/>
    <col min="1709" max="1709" width="1.85546875" style="57" customWidth="1"/>
    <col min="1710" max="1712" width="3" style="57" customWidth="1"/>
    <col min="1713" max="1713" width="4.42578125" style="57" customWidth="1"/>
    <col min="1714" max="1715" width="3" style="57" customWidth="1"/>
    <col min="1716" max="1721" width="3.28515625" style="57" customWidth="1"/>
    <col min="1722" max="1723" width="9.140625" style="57" customWidth="1"/>
    <col min="1724" max="1727" width="3.28515625" style="57" customWidth="1"/>
    <col min="1728" max="1728" width="4.140625" style="57" customWidth="1"/>
    <col min="1729" max="1729" width="1.7109375" style="57" customWidth="1"/>
    <col min="1730" max="1734" width="3.28515625" style="57" customWidth="1"/>
    <col min="1735" max="1735" width="1.7109375" style="57" customWidth="1"/>
    <col min="1736" max="1740" width="3.28515625" style="57" customWidth="1"/>
    <col min="1741" max="1746" width="9.140625" style="57" customWidth="1"/>
    <col min="1747" max="1747" width="1.7109375" style="57" customWidth="1"/>
    <col min="1748" max="1752" width="3.28515625" style="57" customWidth="1"/>
    <col min="1753" max="1753" width="1.7109375" style="57" customWidth="1"/>
    <col min="1754" max="1754" width="16.5703125" style="57" bestFit="1" customWidth="1"/>
    <col min="1755" max="1756" width="10.28515625" style="57" customWidth="1"/>
    <col min="1757" max="1757" width="18" style="57" bestFit="1" customWidth="1"/>
    <col min="1758" max="1942" width="9.140625" style="57"/>
    <col min="1943" max="1950" width="9.140625" style="57" customWidth="1"/>
    <col min="1951" max="1951" width="10.140625" style="57" customWidth="1"/>
    <col min="1952" max="1952" width="1" style="57" customWidth="1"/>
    <col min="1953" max="1955" width="3.28515625" style="57" customWidth="1"/>
    <col min="1956" max="1956" width="1.85546875" style="57" customWidth="1"/>
    <col min="1957" max="1957" width="17.85546875" style="57" customWidth="1"/>
    <col min="1958" max="1958" width="1.85546875" style="57" customWidth="1"/>
    <col min="1959" max="1961" width="3.28515625" style="57" customWidth="1"/>
    <col min="1962" max="1962" width="2.85546875" style="57" customWidth="1"/>
    <col min="1963" max="1963" width="1.85546875" style="57" customWidth="1"/>
    <col min="1964" max="1964" width="19.7109375" style="57" customWidth="1"/>
    <col min="1965" max="1965" width="1.85546875" style="57" customWidth="1"/>
    <col min="1966" max="1968" width="3" style="57" customWidth="1"/>
    <col min="1969" max="1969" width="4.42578125" style="57" customWidth="1"/>
    <col min="1970" max="1971" width="3" style="57" customWidth="1"/>
    <col min="1972" max="1977" width="3.28515625" style="57" customWidth="1"/>
    <col min="1978" max="1979" width="9.140625" style="57" customWidth="1"/>
    <col min="1980" max="1983" width="3.28515625" style="57" customWidth="1"/>
    <col min="1984" max="1984" width="4.140625" style="57" customWidth="1"/>
    <col min="1985" max="1985" width="1.7109375" style="57" customWidth="1"/>
    <col min="1986" max="1990" width="3.28515625" style="57" customWidth="1"/>
    <col min="1991" max="1991" width="1.7109375" style="57" customWidth="1"/>
    <col min="1992" max="1996" width="3.28515625" style="57" customWidth="1"/>
    <col min="1997" max="2002" width="9.140625" style="57" customWidth="1"/>
    <col min="2003" max="2003" width="1.7109375" style="57" customWidth="1"/>
    <col min="2004" max="2008" width="3.28515625" style="57" customWidth="1"/>
    <col min="2009" max="2009" width="1.7109375" style="57" customWidth="1"/>
    <col min="2010" max="2010" width="16.5703125" style="57" bestFit="1" customWidth="1"/>
    <col min="2011" max="2012" width="10.28515625" style="57" customWidth="1"/>
    <col min="2013" max="2013" width="18" style="57" bestFit="1" customWidth="1"/>
    <col min="2014" max="2198" width="9.140625" style="57"/>
    <col min="2199" max="2206" width="9.140625" style="57" customWidth="1"/>
    <col min="2207" max="2207" width="10.140625" style="57" customWidth="1"/>
    <col min="2208" max="2208" width="1" style="57" customWidth="1"/>
    <col min="2209" max="2211" width="3.28515625" style="57" customWidth="1"/>
    <col min="2212" max="2212" width="1.85546875" style="57" customWidth="1"/>
    <col min="2213" max="2213" width="17.85546875" style="57" customWidth="1"/>
    <col min="2214" max="2214" width="1.85546875" style="57" customWidth="1"/>
    <col min="2215" max="2217" width="3.28515625" style="57" customWidth="1"/>
    <col min="2218" max="2218" width="2.85546875" style="57" customWidth="1"/>
    <col min="2219" max="2219" width="1.85546875" style="57" customWidth="1"/>
    <col min="2220" max="2220" width="19.7109375" style="57" customWidth="1"/>
    <col min="2221" max="2221" width="1.85546875" style="57" customWidth="1"/>
    <col min="2222" max="2224" width="3" style="57" customWidth="1"/>
    <col min="2225" max="2225" width="4.42578125" style="57" customWidth="1"/>
    <col min="2226" max="2227" width="3" style="57" customWidth="1"/>
    <col min="2228" max="2233" width="3.28515625" style="57" customWidth="1"/>
    <col min="2234" max="2235" width="9.140625" style="57" customWidth="1"/>
    <col min="2236" max="2239" width="3.28515625" style="57" customWidth="1"/>
    <col min="2240" max="2240" width="4.140625" style="57" customWidth="1"/>
    <col min="2241" max="2241" width="1.7109375" style="57" customWidth="1"/>
    <col min="2242" max="2246" width="3.28515625" style="57" customWidth="1"/>
    <col min="2247" max="2247" width="1.7109375" style="57" customWidth="1"/>
    <col min="2248" max="2252" width="3.28515625" style="57" customWidth="1"/>
    <col min="2253" max="2258" width="9.140625" style="57" customWidth="1"/>
    <col min="2259" max="2259" width="1.7109375" style="57" customWidth="1"/>
    <col min="2260" max="2264" width="3.28515625" style="57" customWidth="1"/>
    <col min="2265" max="2265" width="1.7109375" style="57" customWidth="1"/>
    <col min="2266" max="2266" width="16.5703125" style="57" bestFit="1" customWidth="1"/>
    <col min="2267" max="2268" width="10.28515625" style="57" customWidth="1"/>
    <col min="2269" max="2269" width="18" style="57" bestFit="1" customWidth="1"/>
    <col min="2270" max="2454" width="9.140625" style="57"/>
    <col min="2455" max="2462" width="9.140625" style="57" customWidth="1"/>
    <col min="2463" max="2463" width="10.140625" style="57" customWidth="1"/>
    <col min="2464" max="2464" width="1" style="57" customWidth="1"/>
    <col min="2465" max="2467" width="3.28515625" style="57" customWidth="1"/>
    <col min="2468" max="2468" width="1.85546875" style="57" customWidth="1"/>
    <col min="2469" max="2469" width="17.85546875" style="57" customWidth="1"/>
    <col min="2470" max="2470" width="1.85546875" style="57" customWidth="1"/>
    <col min="2471" max="2473" width="3.28515625" style="57" customWidth="1"/>
    <col min="2474" max="2474" width="2.85546875" style="57" customWidth="1"/>
    <col min="2475" max="2475" width="1.85546875" style="57" customWidth="1"/>
    <col min="2476" max="2476" width="19.7109375" style="57" customWidth="1"/>
    <col min="2477" max="2477" width="1.85546875" style="57" customWidth="1"/>
    <col min="2478" max="2480" width="3" style="57" customWidth="1"/>
    <col min="2481" max="2481" width="4.42578125" style="57" customWidth="1"/>
    <col min="2482" max="2483" width="3" style="57" customWidth="1"/>
    <col min="2484" max="2489" width="3.28515625" style="57" customWidth="1"/>
    <col min="2490" max="2491" width="9.140625" style="57" customWidth="1"/>
    <col min="2492" max="2495" width="3.28515625" style="57" customWidth="1"/>
    <col min="2496" max="2496" width="4.140625" style="57" customWidth="1"/>
    <col min="2497" max="2497" width="1.7109375" style="57" customWidth="1"/>
    <col min="2498" max="2502" width="3.28515625" style="57" customWidth="1"/>
    <col min="2503" max="2503" width="1.7109375" style="57" customWidth="1"/>
    <col min="2504" max="2508" width="3.28515625" style="57" customWidth="1"/>
    <col min="2509" max="2514" width="9.140625" style="57" customWidth="1"/>
    <col min="2515" max="2515" width="1.7109375" style="57" customWidth="1"/>
    <col min="2516" max="2520" width="3.28515625" style="57" customWidth="1"/>
    <col min="2521" max="2521" width="1.7109375" style="57" customWidth="1"/>
    <col min="2522" max="2522" width="16.5703125" style="57" bestFit="1" customWidth="1"/>
    <col min="2523" max="2524" width="10.28515625" style="57" customWidth="1"/>
    <col min="2525" max="2525" width="18" style="57" bestFit="1" customWidth="1"/>
    <col min="2526" max="2710" width="9.140625" style="57"/>
    <col min="2711" max="2718" width="9.140625" style="57" customWidth="1"/>
    <col min="2719" max="2719" width="10.140625" style="57" customWidth="1"/>
    <col min="2720" max="2720" width="1" style="57" customWidth="1"/>
    <col min="2721" max="2723" width="3.28515625" style="57" customWidth="1"/>
    <col min="2724" max="2724" width="1.85546875" style="57" customWidth="1"/>
    <col min="2725" max="2725" width="17.85546875" style="57" customWidth="1"/>
    <col min="2726" max="2726" width="1.85546875" style="57" customWidth="1"/>
    <col min="2727" max="2729" width="3.28515625" style="57" customWidth="1"/>
    <col min="2730" max="2730" width="2.85546875" style="57" customWidth="1"/>
    <col min="2731" max="2731" width="1.85546875" style="57" customWidth="1"/>
    <col min="2732" max="2732" width="19.7109375" style="57" customWidth="1"/>
    <col min="2733" max="2733" width="1.85546875" style="57" customWidth="1"/>
    <col min="2734" max="2736" width="3" style="57" customWidth="1"/>
    <col min="2737" max="2737" width="4.42578125" style="57" customWidth="1"/>
    <col min="2738" max="2739" width="3" style="57" customWidth="1"/>
    <col min="2740" max="2745" width="3.28515625" style="57" customWidth="1"/>
    <col min="2746" max="2747" width="9.140625" style="57" customWidth="1"/>
    <col min="2748" max="2751" width="3.28515625" style="57" customWidth="1"/>
    <col min="2752" max="2752" width="4.140625" style="57" customWidth="1"/>
    <col min="2753" max="2753" width="1.7109375" style="57" customWidth="1"/>
    <col min="2754" max="2758" width="3.28515625" style="57" customWidth="1"/>
    <col min="2759" max="2759" width="1.7109375" style="57" customWidth="1"/>
    <col min="2760" max="2764" width="3.28515625" style="57" customWidth="1"/>
    <col min="2765" max="2770" width="9.140625" style="57" customWidth="1"/>
    <col min="2771" max="2771" width="1.7109375" style="57" customWidth="1"/>
    <col min="2772" max="2776" width="3.28515625" style="57" customWidth="1"/>
    <col min="2777" max="2777" width="1.7109375" style="57" customWidth="1"/>
    <col min="2778" max="2778" width="16.5703125" style="57" bestFit="1" customWidth="1"/>
    <col min="2779" max="2780" width="10.28515625" style="57" customWidth="1"/>
    <col min="2781" max="2781" width="18" style="57" bestFit="1" customWidth="1"/>
    <col min="2782" max="2966" width="9.140625" style="57"/>
    <col min="2967" max="2974" width="9.140625" style="57" customWidth="1"/>
    <col min="2975" max="2975" width="10.140625" style="57" customWidth="1"/>
    <col min="2976" max="2976" width="1" style="57" customWidth="1"/>
    <col min="2977" max="2979" width="3.28515625" style="57" customWidth="1"/>
    <col min="2980" max="2980" width="1.85546875" style="57" customWidth="1"/>
    <col min="2981" max="2981" width="17.85546875" style="57" customWidth="1"/>
    <col min="2982" max="2982" width="1.85546875" style="57" customWidth="1"/>
    <col min="2983" max="2985" width="3.28515625" style="57" customWidth="1"/>
    <col min="2986" max="2986" width="2.85546875" style="57" customWidth="1"/>
    <col min="2987" max="2987" width="1.85546875" style="57" customWidth="1"/>
    <col min="2988" max="2988" width="19.7109375" style="57" customWidth="1"/>
    <col min="2989" max="2989" width="1.85546875" style="57" customWidth="1"/>
    <col min="2990" max="2992" width="3" style="57" customWidth="1"/>
    <col min="2993" max="2993" width="4.42578125" style="57" customWidth="1"/>
    <col min="2994" max="2995" width="3" style="57" customWidth="1"/>
    <col min="2996" max="3001" width="3.28515625" style="57" customWidth="1"/>
    <col min="3002" max="3003" width="9.140625" style="57" customWidth="1"/>
    <col min="3004" max="3007" width="3.28515625" style="57" customWidth="1"/>
    <col min="3008" max="3008" width="4.140625" style="57" customWidth="1"/>
    <col min="3009" max="3009" width="1.7109375" style="57" customWidth="1"/>
    <col min="3010" max="3014" width="3.28515625" style="57" customWidth="1"/>
    <col min="3015" max="3015" width="1.7109375" style="57" customWidth="1"/>
    <col min="3016" max="3020" width="3.28515625" style="57" customWidth="1"/>
    <col min="3021" max="3026" width="9.140625" style="57" customWidth="1"/>
    <col min="3027" max="3027" width="1.7109375" style="57" customWidth="1"/>
    <col min="3028" max="3032" width="3.28515625" style="57" customWidth="1"/>
    <col min="3033" max="3033" width="1.7109375" style="57" customWidth="1"/>
    <col min="3034" max="3034" width="16.5703125" style="57" bestFit="1" customWidth="1"/>
    <col min="3035" max="3036" width="10.28515625" style="57" customWidth="1"/>
    <col min="3037" max="3037" width="18" style="57" bestFit="1" customWidth="1"/>
    <col min="3038" max="3222" width="9.140625" style="57"/>
    <col min="3223" max="3230" width="9.140625" style="57" customWidth="1"/>
    <col min="3231" max="3231" width="10.140625" style="57" customWidth="1"/>
    <col min="3232" max="3232" width="1" style="57" customWidth="1"/>
    <col min="3233" max="3235" width="3.28515625" style="57" customWidth="1"/>
    <col min="3236" max="3236" width="1.85546875" style="57" customWidth="1"/>
    <col min="3237" max="3237" width="17.85546875" style="57" customWidth="1"/>
    <col min="3238" max="3238" width="1.85546875" style="57" customWidth="1"/>
    <col min="3239" max="3241" width="3.28515625" style="57" customWidth="1"/>
    <col min="3242" max="3242" width="2.85546875" style="57" customWidth="1"/>
    <col min="3243" max="3243" width="1.85546875" style="57" customWidth="1"/>
    <col min="3244" max="3244" width="19.7109375" style="57" customWidth="1"/>
    <col min="3245" max="3245" width="1.85546875" style="57" customWidth="1"/>
    <col min="3246" max="3248" width="3" style="57" customWidth="1"/>
    <col min="3249" max="3249" width="4.42578125" style="57" customWidth="1"/>
    <col min="3250" max="3251" width="3" style="57" customWidth="1"/>
    <col min="3252" max="3257" width="3.28515625" style="57" customWidth="1"/>
    <col min="3258" max="3259" width="9.140625" style="57" customWidth="1"/>
    <col min="3260" max="3263" width="3.28515625" style="57" customWidth="1"/>
    <col min="3264" max="3264" width="4.140625" style="57" customWidth="1"/>
    <col min="3265" max="3265" width="1.7109375" style="57" customWidth="1"/>
    <col min="3266" max="3270" width="3.28515625" style="57" customWidth="1"/>
    <col min="3271" max="3271" width="1.7109375" style="57" customWidth="1"/>
    <col min="3272" max="3276" width="3.28515625" style="57" customWidth="1"/>
    <col min="3277" max="3282" width="9.140625" style="57" customWidth="1"/>
    <col min="3283" max="3283" width="1.7109375" style="57" customWidth="1"/>
    <col min="3284" max="3288" width="3.28515625" style="57" customWidth="1"/>
    <col min="3289" max="3289" width="1.7109375" style="57" customWidth="1"/>
    <col min="3290" max="3290" width="16.5703125" style="57" bestFit="1" customWidth="1"/>
    <col min="3291" max="3292" width="10.28515625" style="57" customWidth="1"/>
    <col min="3293" max="3293" width="18" style="57" bestFit="1" customWidth="1"/>
    <col min="3294" max="3478" width="9.140625" style="57"/>
    <col min="3479" max="3486" width="9.140625" style="57" customWidth="1"/>
    <col min="3487" max="3487" width="10.140625" style="57" customWidth="1"/>
    <col min="3488" max="3488" width="1" style="57" customWidth="1"/>
    <col min="3489" max="3491" width="3.28515625" style="57" customWidth="1"/>
    <col min="3492" max="3492" width="1.85546875" style="57" customWidth="1"/>
    <col min="3493" max="3493" width="17.85546875" style="57" customWidth="1"/>
    <col min="3494" max="3494" width="1.85546875" style="57" customWidth="1"/>
    <col min="3495" max="3497" width="3.28515625" style="57" customWidth="1"/>
    <col min="3498" max="3498" width="2.85546875" style="57" customWidth="1"/>
    <col min="3499" max="3499" width="1.85546875" style="57" customWidth="1"/>
    <col min="3500" max="3500" width="19.7109375" style="57" customWidth="1"/>
    <col min="3501" max="3501" width="1.85546875" style="57" customWidth="1"/>
    <col min="3502" max="3504" width="3" style="57" customWidth="1"/>
    <col min="3505" max="3505" width="4.42578125" style="57" customWidth="1"/>
    <col min="3506" max="3507" width="3" style="57" customWidth="1"/>
    <col min="3508" max="3513" width="3.28515625" style="57" customWidth="1"/>
    <col min="3514" max="3515" width="9.140625" style="57" customWidth="1"/>
    <col min="3516" max="3519" width="3.28515625" style="57" customWidth="1"/>
    <col min="3520" max="3520" width="4.140625" style="57" customWidth="1"/>
    <col min="3521" max="3521" width="1.7109375" style="57" customWidth="1"/>
    <col min="3522" max="3526" width="3.28515625" style="57" customWidth="1"/>
    <col min="3527" max="3527" width="1.7109375" style="57" customWidth="1"/>
    <col min="3528" max="3532" width="3.28515625" style="57" customWidth="1"/>
    <col min="3533" max="3538" width="9.140625" style="57" customWidth="1"/>
    <col min="3539" max="3539" width="1.7109375" style="57" customWidth="1"/>
    <col min="3540" max="3544" width="3.28515625" style="57" customWidth="1"/>
    <col min="3545" max="3545" width="1.7109375" style="57" customWidth="1"/>
    <col min="3546" max="3546" width="16.5703125" style="57" bestFit="1" customWidth="1"/>
    <col min="3547" max="3548" width="10.28515625" style="57" customWidth="1"/>
    <col min="3549" max="3549" width="18" style="57" bestFit="1" customWidth="1"/>
    <col min="3550" max="3734" width="9.140625" style="57"/>
    <col min="3735" max="3742" width="9.140625" style="57" customWidth="1"/>
    <col min="3743" max="3743" width="10.140625" style="57" customWidth="1"/>
    <col min="3744" max="3744" width="1" style="57" customWidth="1"/>
    <col min="3745" max="3747" width="3.28515625" style="57" customWidth="1"/>
    <col min="3748" max="3748" width="1.85546875" style="57" customWidth="1"/>
    <col min="3749" max="3749" width="17.85546875" style="57" customWidth="1"/>
    <col min="3750" max="3750" width="1.85546875" style="57" customWidth="1"/>
    <col min="3751" max="3753" width="3.28515625" style="57" customWidth="1"/>
    <col min="3754" max="3754" width="2.85546875" style="57" customWidth="1"/>
    <col min="3755" max="3755" width="1.85546875" style="57" customWidth="1"/>
    <col min="3756" max="3756" width="19.7109375" style="57" customWidth="1"/>
    <col min="3757" max="3757" width="1.85546875" style="57" customWidth="1"/>
    <col min="3758" max="3760" width="3" style="57" customWidth="1"/>
    <col min="3761" max="3761" width="4.42578125" style="57" customWidth="1"/>
    <col min="3762" max="3763" width="3" style="57" customWidth="1"/>
    <col min="3764" max="3769" width="3.28515625" style="57" customWidth="1"/>
    <col min="3770" max="3771" width="9.140625" style="57" customWidth="1"/>
    <col min="3772" max="3775" width="3.28515625" style="57" customWidth="1"/>
    <col min="3776" max="3776" width="4.140625" style="57" customWidth="1"/>
    <col min="3777" max="3777" width="1.7109375" style="57" customWidth="1"/>
    <col min="3778" max="3782" width="3.28515625" style="57" customWidth="1"/>
    <col min="3783" max="3783" width="1.7109375" style="57" customWidth="1"/>
    <col min="3784" max="3788" width="3.28515625" style="57" customWidth="1"/>
    <col min="3789" max="3794" width="9.140625" style="57" customWidth="1"/>
    <col min="3795" max="3795" width="1.7109375" style="57" customWidth="1"/>
    <col min="3796" max="3800" width="3.28515625" style="57" customWidth="1"/>
    <col min="3801" max="3801" width="1.7109375" style="57" customWidth="1"/>
    <col min="3802" max="3802" width="16.5703125" style="57" bestFit="1" customWidth="1"/>
    <col min="3803" max="3804" width="10.28515625" style="57" customWidth="1"/>
    <col min="3805" max="3805" width="18" style="57" bestFit="1" customWidth="1"/>
    <col min="3806" max="3990" width="9.140625" style="57"/>
    <col min="3991" max="3998" width="9.140625" style="57" customWidth="1"/>
    <col min="3999" max="3999" width="10.140625" style="57" customWidth="1"/>
    <col min="4000" max="4000" width="1" style="57" customWidth="1"/>
    <col min="4001" max="4003" width="3.28515625" style="57" customWidth="1"/>
    <col min="4004" max="4004" width="1.85546875" style="57" customWidth="1"/>
    <col min="4005" max="4005" width="17.85546875" style="57" customWidth="1"/>
    <col min="4006" max="4006" width="1.85546875" style="57" customWidth="1"/>
    <col min="4007" max="4009" width="3.28515625" style="57" customWidth="1"/>
    <col min="4010" max="4010" width="2.85546875" style="57" customWidth="1"/>
    <col min="4011" max="4011" width="1.85546875" style="57" customWidth="1"/>
    <col min="4012" max="4012" width="19.7109375" style="57" customWidth="1"/>
    <col min="4013" max="4013" width="1.85546875" style="57" customWidth="1"/>
    <col min="4014" max="4016" width="3" style="57" customWidth="1"/>
    <col min="4017" max="4017" width="4.42578125" style="57" customWidth="1"/>
    <col min="4018" max="4019" width="3" style="57" customWidth="1"/>
    <col min="4020" max="4025" width="3.28515625" style="57" customWidth="1"/>
    <col min="4026" max="4027" width="9.140625" style="57" customWidth="1"/>
    <col min="4028" max="4031" width="3.28515625" style="57" customWidth="1"/>
    <col min="4032" max="4032" width="4.140625" style="57" customWidth="1"/>
    <col min="4033" max="4033" width="1.7109375" style="57" customWidth="1"/>
    <col min="4034" max="4038" width="3.28515625" style="57" customWidth="1"/>
    <col min="4039" max="4039" width="1.7109375" style="57" customWidth="1"/>
    <col min="4040" max="4044" width="3.28515625" style="57" customWidth="1"/>
    <col min="4045" max="4050" width="9.140625" style="57" customWidth="1"/>
    <col min="4051" max="4051" width="1.7109375" style="57" customWidth="1"/>
    <col min="4052" max="4056" width="3.28515625" style="57" customWidth="1"/>
    <col min="4057" max="4057" width="1.7109375" style="57" customWidth="1"/>
    <col min="4058" max="4058" width="16.5703125" style="57" bestFit="1" customWidth="1"/>
    <col min="4059" max="4060" width="10.28515625" style="57" customWidth="1"/>
    <col min="4061" max="4061" width="18" style="57" bestFit="1" customWidth="1"/>
    <col min="4062" max="4246" width="9.140625" style="57"/>
    <col min="4247" max="4254" width="9.140625" style="57" customWidth="1"/>
    <col min="4255" max="4255" width="10.140625" style="57" customWidth="1"/>
    <col min="4256" max="4256" width="1" style="57" customWidth="1"/>
    <col min="4257" max="4259" width="3.28515625" style="57" customWidth="1"/>
    <col min="4260" max="4260" width="1.85546875" style="57" customWidth="1"/>
    <col min="4261" max="4261" width="17.85546875" style="57" customWidth="1"/>
    <col min="4262" max="4262" width="1.85546875" style="57" customWidth="1"/>
    <col min="4263" max="4265" width="3.28515625" style="57" customWidth="1"/>
    <col min="4266" max="4266" width="2.85546875" style="57" customWidth="1"/>
    <col min="4267" max="4267" width="1.85546875" style="57" customWidth="1"/>
    <col min="4268" max="4268" width="19.7109375" style="57" customWidth="1"/>
    <col min="4269" max="4269" width="1.85546875" style="57" customWidth="1"/>
    <col min="4270" max="4272" width="3" style="57" customWidth="1"/>
    <col min="4273" max="4273" width="4.42578125" style="57" customWidth="1"/>
    <col min="4274" max="4275" width="3" style="57" customWidth="1"/>
    <col min="4276" max="4281" width="3.28515625" style="57" customWidth="1"/>
    <col min="4282" max="4283" width="9.140625" style="57" customWidth="1"/>
    <col min="4284" max="4287" width="3.28515625" style="57" customWidth="1"/>
    <col min="4288" max="4288" width="4.140625" style="57" customWidth="1"/>
    <col min="4289" max="4289" width="1.7109375" style="57" customWidth="1"/>
    <col min="4290" max="4294" width="3.28515625" style="57" customWidth="1"/>
    <col min="4295" max="4295" width="1.7109375" style="57" customWidth="1"/>
    <col min="4296" max="4300" width="3.28515625" style="57" customWidth="1"/>
    <col min="4301" max="4306" width="9.140625" style="57" customWidth="1"/>
    <col min="4307" max="4307" width="1.7109375" style="57" customWidth="1"/>
    <col min="4308" max="4312" width="3.28515625" style="57" customWidth="1"/>
    <col min="4313" max="4313" width="1.7109375" style="57" customWidth="1"/>
    <col min="4314" max="4314" width="16.5703125" style="57" bestFit="1" customWidth="1"/>
    <col min="4315" max="4316" width="10.28515625" style="57" customWidth="1"/>
    <col min="4317" max="4317" width="18" style="57" bestFit="1" customWidth="1"/>
    <col min="4318" max="4502" width="9.140625" style="57"/>
    <col min="4503" max="4510" width="9.140625" style="57" customWidth="1"/>
    <col min="4511" max="4511" width="10.140625" style="57" customWidth="1"/>
    <col min="4512" max="4512" width="1" style="57" customWidth="1"/>
    <col min="4513" max="4515" width="3.28515625" style="57" customWidth="1"/>
    <col min="4516" max="4516" width="1.85546875" style="57" customWidth="1"/>
    <col min="4517" max="4517" width="17.85546875" style="57" customWidth="1"/>
    <col min="4518" max="4518" width="1.85546875" style="57" customWidth="1"/>
    <col min="4519" max="4521" width="3.28515625" style="57" customWidth="1"/>
    <col min="4522" max="4522" width="2.85546875" style="57" customWidth="1"/>
    <col min="4523" max="4523" width="1.85546875" style="57" customWidth="1"/>
    <col min="4524" max="4524" width="19.7109375" style="57" customWidth="1"/>
    <col min="4525" max="4525" width="1.85546875" style="57" customWidth="1"/>
    <col min="4526" max="4528" width="3" style="57" customWidth="1"/>
    <col min="4529" max="4529" width="4.42578125" style="57" customWidth="1"/>
    <col min="4530" max="4531" width="3" style="57" customWidth="1"/>
    <col min="4532" max="4537" width="3.28515625" style="57" customWidth="1"/>
    <col min="4538" max="4539" width="9.140625" style="57" customWidth="1"/>
    <col min="4540" max="4543" width="3.28515625" style="57" customWidth="1"/>
    <col min="4544" max="4544" width="4.140625" style="57" customWidth="1"/>
    <col min="4545" max="4545" width="1.7109375" style="57" customWidth="1"/>
    <col min="4546" max="4550" width="3.28515625" style="57" customWidth="1"/>
    <col min="4551" max="4551" width="1.7109375" style="57" customWidth="1"/>
    <col min="4552" max="4556" width="3.28515625" style="57" customWidth="1"/>
    <col min="4557" max="4562" width="9.140625" style="57" customWidth="1"/>
    <col min="4563" max="4563" width="1.7109375" style="57" customWidth="1"/>
    <col min="4564" max="4568" width="3.28515625" style="57" customWidth="1"/>
    <col min="4569" max="4569" width="1.7109375" style="57" customWidth="1"/>
    <col min="4570" max="4570" width="16.5703125" style="57" bestFit="1" customWidth="1"/>
    <col min="4571" max="4572" width="10.28515625" style="57" customWidth="1"/>
    <col min="4573" max="4573" width="18" style="57" bestFit="1" customWidth="1"/>
    <col min="4574" max="4758" width="9.140625" style="57"/>
    <col min="4759" max="4766" width="9.140625" style="57" customWidth="1"/>
    <col min="4767" max="4767" width="10.140625" style="57" customWidth="1"/>
    <col min="4768" max="4768" width="1" style="57" customWidth="1"/>
    <col min="4769" max="4771" width="3.28515625" style="57" customWidth="1"/>
    <col min="4772" max="4772" width="1.85546875" style="57" customWidth="1"/>
    <col min="4773" max="4773" width="17.85546875" style="57" customWidth="1"/>
    <col min="4774" max="4774" width="1.85546875" style="57" customWidth="1"/>
    <col min="4775" max="4777" width="3.28515625" style="57" customWidth="1"/>
    <col min="4778" max="4778" width="2.85546875" style="57" customWidth="1"/>
    <col min="4779" max="4779" width="1.85546875" style="57" customWidth="1"/>
    <col min="4780" max="4780" width="19.7109375" style="57" customWidth="1"/>
    <col min="4781" max="4781" width="1.85546875" style="57" customWidth="1"/>
    <col min="4782" max="4784" width="3" style="57" customWidth="1"/>
    <col min="4785" max="4785" width="4.42578125" style="57" customWidth="1"/>
    <col min="4786" max="4787" width="3" style="57" customWidth="1"/>
    <col min="4788" max="4793" width="3.28515625" style="57" customWidth="1"/>
    <col min="4794" max="4795" width="9.140625" style="57" customWidth="1"/>
    <col min="4796" max="4799" width="3.28515625" style="57" customWidth="1"/>
    <col min="4800" max="4800" width="4.140625" style="57" customWidth="1"/>
    <col min="4801" max="4801" width="1.7109375" style="57" customWidth="1"/>
    <col min="4802" max="4806" width="3.28515625" style="57" customWidth="1"/>
    <col min="4807" max="4807" width="1.7109375" style="57" customWidth="1"/>
    <col min="4808" max="4812" width="3.28515625" style="57" customWidth="1"/>
    <col min="4813" max="4818" width="9.140625" style="57" customWidth="1"/>
    <col min="4819" max="4819" width="1.7109375" style="57" customWidth="1"/>
    <col min="4820" max="4824" width="3.28515625" style="57" customWidth="1"/>
    <col min="4825" max="4825" width="1.7109375" style="57" customWidth="1"/>
    <col min="4826" max="4826" width="16.5703125" style="57" bestFit="1" customWidth="1"/>
    <col min="4827" max="4828" width="10.28515625" style="57" customWidth="1"/>
    <col min="4829" max="4829" width="18" style="57" bestFit="1" customWidth="1"/>
    <col min="4830" max="5014" width="9.140625" style="57"/>
    <col min="5015" max="5022" width="9.140625" style="57" customWidth="1"/>
    <col min="5023" max="5023" width="10.140625" style="57" customWidth="1"/>
    <col min="5024" max="5024" width="1" style="57" customWidth="1"/>
    <col min="5025" max="5027" width="3.28515625" style="57" customWidth="1"/>
    <col min="5028" max="5028" width="1.85546875" style="57" customWidth="1"/>
    <col min="5029" max="5029" width="17.85546875" style="57" customWidth="1"/>
    <col min="5030" max="5030" width="1.85546875" style="57" customWidth="1"/>
    <col min="5031" max="5033" width="3.28515625" style="57" customWidth="1"/>
    <col min="5034" max="5034" width="2.85546875" style="57" customWidth="1"/>
    <col min="5035" max="5035" width="1.85546875" style="57" customWidth="1"/>
    <col min="5036" max="5036" width="19.7109375" style="57" customWidth="1"/>
    <col min="5037" max="5037" width="1.85546875" style="57" customWidth="1"/>
    <col min="5038" max="5040" width="3" style="57" customWidth="1"/>
    <col min="5041" max="5041" width="4.42578125" style="57" customWidth="1"/>
    <col min="5042" max="5043" width="3" style="57" customWidth="1"/>
    <col min="5044" max="5049" width="3.28515625" style="57" customWidth="1"/>
    <col min="5050" max="5051" width="9.140625" style="57" customWidth="1"/>
    <col min="5052" max="5055" width="3.28515625" style="57" customWidth="1"/>
    <col min="5056" max="5056" width="4.140625" style="57" customWidth="1"/>
    <col min="5057" max="5057" width="1.7109375" style="57" customWidth="1"/>
    <col min="5058" max="5062" width="3.28515625" style="57" customWidth="1"/>
    <col min="5063" max="5063" width="1.7109375" style="57" customWidth="1"/>
    <col min="5064" max="5068" width="3.28515625" style="57" customWidth="1"/>
    <col min="5069" max="5074" width="9.140625" style="57" customWidth="1"/>
    <col min="5075" max="5075" width="1.7109375" style="57" customWidth="1"/>
    <col min="5076" max="5080" width="3.28515625" style="57" customWidth="1"/>
    <col min="5081" max="5081" width="1.7109375" style="57" customWidth="1"/>
    <col min="5082" max="5082" width="16.5703125" style="57" bestFit="1" customWidth="1"/>
    <col min="5083" max="5084" width="10.28515625" style="57" customWidth="1"/>
    <col min="5085" max="5085" width="18" style="57" bestFit="1" customWidth="1"/>
    <col min="5086" max="5270" width="9.140625" style="57"/>
    <col min="5271" max="5278" width="9.140625" style="57" customWidth="1"/>
    <col min="5279" max="5279" width="10.140625" style="57" customWidth="1"/>
    <col min="5280" max="5280" width="1" style="57" customWidth="1"/>
    <col min="5281" max="5283" width="3.28515625" style="57" customWidth="1"/>
    <col min="5284" max="5284" width="1.85546875" style="57" customWidth="1"/>
    <col min="5285" max="5285" width="17.85546875" style="57" customWidth="1"/>
    <col min="5286" max="5286" width="1.85546875" style="57" customWidth="1"/>
    <col min="5287" max="5289" width="3.28515625" style="57" customWidth="1"/>
    <col min="5290" max="5290" width="2.85546875" style="57" customWidth="1"/>
    <col min="5291" max="5291" width="1.85546875" style="57" customWidth="1"/>
    <col min="5292" max="5292" width="19.7109375" style="57" customWidth="1"/>
    <col min="5293" max="5293" width="1.85546875" style="57" customWidth="1"/>
    <col min="5294" max="5296" width="3" style="57" customWidth="1"/>
    <col min="5297" max="5297" width="4.42578125" style="57" customWidth="1"/>
    <col min="5298" max="5299" width="3" style="57" customWidth="1"/>
    <col min="5300" max="5305" width="3.28515625" style="57" customWidth="1"/>
    <col min="5306" max="5307" width="9.140625" style="57" customWidth="1"/>
    <col min="5308" max="5311" width="3.28515625" style="57" customWidth="1"/>
    <col min="5312" max="5312" width="4.140625" style="57" customWidth="1"/>
    <col min="5313" max="5313" width="1.7109375" style="57" customWidth="1"/>
    <col min="5314" max="5318" width="3.28515625" style="57" customWidth="1"/>
    <col min="5319" max="5319" width="1.7109375" style="57" customWidth="1"/>
    <col min="5320" max="5324" width="3.28515625" style="57" customWidth="1"/>
    <col min="5325" max="5330" width="9.140625" style="57" customWidth="1"/>
    <col min="5331" max="5331" width="1.7109375" style="57" customWidth="1"/>
    <col min="5332" max="5336" width="3.28515625" style="57" customWidth="1"/>
    <col min="5337" max="5337" width="1.7109375" style="57" customWidth="1"/>
    <col min="5338" max="5338" width="16.5703125" style="57" bestFit="1" customWidth="1"/>
    <col min="5339" max="5340" width="10.28515625" style="57" customWidth="1"/>
    <col min="5341" max="5341" width="18" style="57" bestFit="1" customWidth="1"/>
    <col min="5342" max="5526" width="9.140625" style="57"/>
    <col min="5527" max="5534" width="9.140625" style="57" customWidth="1"/>
    <col min="5535" max="5535" width="10.140625" style="57" customWidth="1"/>
    <col min="5536" max="5536" width="1" style="57" customWidth="1"/>
    <col min="5537" max="5539" width="3.28515625" style="57" customWidth="1"/>
    <col min="5540" max="5540" width="1.85546875" style="57" customWidth="1"/>
    <col min="5541" max="5541" width="17.85546875" style="57" customWidth="1"/>
    <col min="5542" max="5542" width="1.85546875" style="57" customWidth="1"/>
    <col min="5543" max="5545" width="3.28515625" style="57" customWidth="1"/>
    <col min="5546" max="5546" width="2.85546875" style="57" customWidth="1"/>
    <col min="5547" max="5547" width="1.85546875" style="57" customWidth="1"/>
    <col min="5548" max="5548" width="19.7109375" style="57" customWidth="1"/>
    <col min="5549" max="5549" width="1.85546875" style="57" customWidth="1"/>
    <col min="5550" max="5552" width="3" style="57" customWidth="1"/>
    <col min="5553" max="5553" width="4.42578125" style="57" customWidth="1"/>
    <col min="5554" max="5555" width="3" style="57" customWidth="1"/>
    <col min="5556" max="5561" width="3.28515625" style="57" customWidth="1"/>
    <col min="5562" max="5563" width="9.140625" style="57" customWidth="1"/>
    <col min="5564" max="5567" width="3.28515625" style="57" customWidth="1"/>
    <col min="5568" max="5568" width="4.140625" style="57" customWidth="1"/>
    <col min="5569" max="5569" width="1.7109375" style="57" customWidth="1"/>
    <col min="5570" max="5574" width="3.28515625" style="57" customWidth="1"/>
    <col min="5575" max="5575" width="1.7109375" style="57" customWidth="1"/>
    <col min="5576" max="5580" width="3.28515625" style="57" customWidth="1"/>
    <col min="5581" max="5586" width="9.140625" style="57" customWidth="1"/>
    <col min="5587" max="5587" width="1.7109375" style="57" customWidth="1"/>
    <col min="5588" max="5592" width="3.28515625" style="57" customWidth="1"/>
    <col min="5593" max="5593" width="1.7109375" style="57" customWidth="1"/>
    <col min="5594" max="5594" width="16.5703125" style="57" bestFit="1" customWidth="1"/>
    <col min="5595" max="5596" width="10.28515625" style="57" customWidth="1"/>
    <col min="5597" max="5597" width="18" style="57" bestFit="1" customWidth="1"/>
    <col min="5598" max="5782" width="9.140625" style="57"/>
    <col min="5783" max="5790" width="9.140625" style="57" customWidth="1"/>
    <col min="5791" max="5791" width="10.140625" style="57" customWidth="1"/>
    <col min="5792" max="5792" width="1" style="57" customWidth="1"/>
    <col min="5793" max="5795" width="3.28515625" style="57" customWidth="1"/>
    <col min="5796" max="5796" width="1.85546875" style="57" customWidth="1"/>
    <col min="5797" max="5797" width="17.85546875" style="57" customWidth="1"/>
    <col min="5798" max="5798" width="1.85546875" style="57" customWidth="1"/>
    <col min="5799" max="5801" width="3.28515625" style="57" customWidth="1"/>
    <col min="5802" max="5802" width="2.85546875" style="57" customWidth="1"/>
    <col min="5803" max="5803" width="1.85546875" style="57" customWidth="1"/>
    <col min="5804" max="5804" width="19.7109375" style="57" customWidth="1"/>
    <col min="5805" max="5805" width="1.85546875" style="57" customWidth="1"/>
    <col min="5806" max="5808" width="3" style="57" customWidth="1"/>
    <col min="5809" max="5809" width="4.42578125" style="57" customWidth="1"/>
    <col min="5810" max="5811" width="3" style="57" customWidth="1"/>
    <col min="5812" max="5817" width="3.28515625" style="57" customWidth="1"/>
    <col min="5818" max="5819" width="9.140625" style="57" customWidth="1"/>
    <col min="5820" max="5823" width="3.28515625" style="57" customWidth="1"/>
    <col min="5824" max="5824" width="4.140625" style="57" customWidth="1"/>
    <col min="5825" max="5825" width="1.7109375" style="57" customWidth="1"/>
    <col min="5826" max="5830" width="3.28515625" style="57" customWidth="1"/>
    <col min="5831" max="5831" width="1.7109375" style="57" customWidth="1"/>
    <col min="5832" max="5836" width="3.28515625" style="57" customWidth="1"/>
    <col min="5837" max="5842" width="9.140625" style="57" customWidth="1"/>
    <col min="5843" max="5843" width="1.7109375" style="57" customWidth="1"/>
    <col min="5844" max="5848" width="3.28515625" style="57" customWidth="1"/>
    <col min="5849" max="5849" width="1.7109375" style="57" customWidth="1"/>
    <col min="5850" max="5850" width="16.5703125" style="57" bestFit="1" customWidth="1"/>
    <col min="5851" max="5852" width="10.28515625" style="57" customWidth="1"/>
    <col min="5853" max="5853" width="18" style="57" bestFit="1" customWidth="1"/>
    <col min="5854" max="6038" width="9.140625" style="57"/>
    <col min="6039" max="6046" width="9.140625" style="57" customWidth="1"/>
    <col min="6047" max="6047" width="10.140625" style="57" customWidth="1"/>
    <col min="6048" max="6048" width="1" style="57" customWidth="1"/>
    <col min="6049" max="6051" width="3.28515625" style="57" customWidth="1"/>
    <col min="6052" max="6052" width="1.85546875" style="57" customWidth="1"/>
    <col min="6053" max="6053" width="17.85546875" style="57" customWidth="1"/>
    <col min="6054" max="6054" width="1.85546875" style="57" customWidth="1"/>
    <col min="6055" max="6057" width="3.28515625" style="57" customWidth="1"/>
    <col min="6058" max="6058" width="2.85546875" style="57" customWidth="1"/>
    <col min="6059" max="6059" width="1.85546875" style="57" customWidth="1"/>
    <col min="6060" max="6060" width="19.7109375" style="57" customWidth="1"/>
    <col min="6061" max="6061" width="1.85546875" style="57" customWidth="1"/>
    <col min="6062" max="6064" width="3" style="57" customWidth="1"/>
    <col min="6065" max="6065" width="4.42578125" style="57" customWidth="1"/>
    <col min="6066" max="6067" width="3" style="57" customWidth="1"/>
    <col min="6068" max="6073" width="3.28515625" style="57" customWidth="1"/>
    <col min="6074" max="6075" width="9.140625" style="57" customWidth="1"/>
    <col min="6076" max="6079" width="3.28515625" style="57" customWidth="1"/>
    <col min="6080" max="6080" width="4.140625" style="57" customWidth="1"/>
    <col min="6081" max="6081" width="1.7109375" style="57" customWidth="1"/>
    <col min="6082" max="6086" width="3.28515625" style="57" customWidth="1"/>
    <col min="6087" max="6087" width="1.7109375" style="57" customWidth="1"/>
    <col min="6088" max="6092" width="3.28515625" style="57" customWidth="1"/>
    <col min="6093" max="6098" width="9.140625" style="57" customWidth="1"/>
    <col min="6099" max="6099" width="1.7109375" style="57" customWidth="1"/>
    <col min="6100" max="6104" width="3.28515625" style="57" customWidth="1"/>
    <col min="6105" max="6105" width="1.7109375" style="57" customWidth="1"/>
    <col min="6106" max="6106" width="16.5703125" style="57" bestFit="1" customWidth="1"/>
    <col min="6107" max="6108" width="10.28515625" style="57" customWidth="1"/>
    <col min="6109" max="6109" width="18" style="57" bestFit="1" customWidth="1"/>
    <col min="6110" max="6294" width="9.140625" style="57"/>
    <col min="6295" max="6302" width="9.140625" style="57" customWidth="1"/>
    <col min="6303" max="6303" width="10.140625" style="57" customWidth="1"/>
    <col min="6304" max="6304" width="1" style="57" customWidth="1"/>
    <col min="6305" max="6307" width="3.28515625" style="57" customWidth="1"/>
    <col min="6308" max="6308" width="1.85546875" style="57" customWidth="1"/>
    <col min="6309" max="6309" width="17.85546875" style="57" customWidth="1"/>
    <col min="6310" max="6310" width="1.85546875" style="57" customWidth="1"/>
    <col min="6311" max="6313" width="3.28515625" style="57" customWidth="1"/>
    <col min="6314" max="6314" width="2.85546875" style="57" customWidth="1"/>
    <col min="6315" max="6315" width="1.85546875" style="57" customWidth="1"/>
    <col min="6316" max="6316" width="19.7109375" style="57" customWidth="1"/>
    <col min="6317" max="6317" width="1.85546875" style="57" customWidth="1"/>
    <col min="6318" max="6320" width="3" style="57" customWidth="1"/>
    <col min="6321" max="6321" width="4.42578125" style="57" customWidth="1"/>
    <col min="6322" max="6323" width="3" style="57" customWidth="1"/>
    <col min="6324" max="6329" width="3.28515625" style="57" customWidth="1"/>
    <col min="6330" max="6331" width="9.140625" style="57" customWidth="1"/>
    <col min="6332" max="6335" width="3.28515625" style="57" customWidth="1"/>
    <col min="6336" max="6336" width="4.140625" style="57" customWidth="1"/>
    <col min="6337" max="6337" width="1.7109375" style="57" customWidth="1"/>
    <col min="6338" max="6342" width="3.28515625" style="57" customWidth="1"/>
    <col min="6343" max="6343" width="1.7109375" style="57" customWidth="1"/>
    <col min="6344" max="6348" width="3.28515625" style="57" customWidth="1"/>
    <col min="6349" max="6354" width="9.140625" style="57" customWidth="1"/>
    <col min="6355" max="6355" width="1.7109375" style="57" customWidth="1"/>
    <col min="6356" max="6360" width="3.28515625" style="57" customWidth="1"/>
    <col min="6361" max="6361" width="1.7109375" style="57" customWidth="1"/>
    <col min="6362" max="6362" width="16.5703125" style="57" bestFit="1" customWidth="1"/>
    <col min="6363" max="6364" width="10.28515625" style="57" customWidth="1"/>
    <col min="6365" max="6365" width="18" style="57" bestFit="1" customWidth="1"/>
    <col min="6366" max="6550" width="9.140625" style="57"/>
    <col min="6551" max="6558" width="9.140625" style="57" customWidth="1"/>
    <col min="6559" max="6559" width="10.140625" style="57" customWidth="1"/>
    <col min="6560" max="6560" width="1" style="57" customWidth="1"/>
    <col min="6561" max="6563" width="3.28515625" style="57" customWidth="1"/>
    <col min="6564" max="6564" width="1.85546875" style="57" customWidth="1"/>
    <col min="6565" max="6565" width="17.85546875" style="57" customWidth="1"/>
    <col min="6566" max="6566" width="1.85546875" style="57" customWidth="1"/>
    <col min="6567" max="6569" width="3.28515625" style="57" customWidth="1"/>
    <col min="6570" max="6570" width="2.85546875" style="57" customWidth="1"/>
    <col min="6571" max="6571" width="1.85546875" style="57" customWidth="1"/>
    <col min="6572" max="6572" width="19.7109375" style="57" customWidth="1"/>
    <col min="6573" max="6573" width="1.85546875" style="57" customWidth="1"/>
    <col min="6574" max="6576" width="3" style="57" customWidth="1"/>
    <col min="6577" max="6577" width="4.42578125" style="57" customWidth="1"/>
    <col min="6578" max="6579" width="3" style="57" customWidth="1"/>
    <col min="6580" max="6585" width="3.28515625" style="57" customWidth="1"/>
    <col min="6586" max="6587" width="9.140625" style="57" customWidth="1"/>
    <col min="6588" max="6591" width="3.28515625" style="57" customWidth="1"/>
    <col min="6592" max="6592" width="4.140625" style="57" customWidth="1"/>
    <col min="6593" max="6593" width="1.7109375" style="57" customWidth="1"/>
    <col min="6594" max="6598" width="3.28515625" style="57" customWidth="1"/>
    <col min="6599" max="6599" width="1.7109375" style="57" customWidth="1"/>
    <col min="6600" max="6604" width="3.28515625" style="57" customWidth="1"/>
    <col min="6605" max="6610" width="9.140625" style="57" customWidth="1"/>
    <col min="6611" max="6611" width="1.7109375" style="57" customWidth="1"/>
    <col min="6612" max="6616" width="3.28515625" style="57" customWidth="1"/>
    <col min="6617" max="6617" width="1.7109375" style="57" customWidth="1"/>
    <col min="6618" max="6618" width="16.5703125" style="57" bestFit="1" customWidth="1"/>
    <col min="6619" max="6620" width="10.28515625" style="57" customWidth="1"/>
    <col min="6621" max="6621" width="18" style="57" bestFit="1" customWidth="1"/>
    <col min="6622" max="6806" width="9.140625" style="57"/>
    <col min="6807" max="6814" width="9.140625" style="57" customWidth="1"/>
    <col min="6815" max="6815" width="10.140625" style="57" customWidth="1"/>
    <col min="6816" max="6816" width="1" style="57" customWidth="1"/>
    <col min="6817" max="6819" width="3.28515625" style="57" customWidth="1"/>
    <col min="6820" max="6820" width="1.85546875" style="57" customWidth="1"/>
    <col min="6821" max="6821" width="17.85546875" style="57" customWidth="1"/>
    <col min="6822" max="6822" width="1.85546875" style="57" customWidth="1"/>
    <col min="6823" max="6825" width="3.28515625" style="57" customWidth="1"/>
    <col min="6826" max="6826" width="2.85546875" style="57" customWidth="1"/>
    <col min="6827" max="6827" width="1.85546875" style="57" customWidth="1"/>
    <col min="6828" max="6828" width="19.7109375" style="57" customWidth="1"/>
    <col min="6829" max="6829" width="1.85546875" style="57" customWidth="1"/>
    <col min="6830" max="6832" width="3" style="57" customWidth="1"/>
    <col min="6833" max="6833" width="4.42578125" style="57" customWidth="1"/>
    <col min="6834" max="6835" width="3" style="57" customWidth="1"/>
    <col min="6836" max="6841" width="3.28515625" style="57" customWidth="1"/>
    <col min="6842" max="6843" width="9.140625" style="57" customWidth="1"/>
    <col min="6844" max="6847" width="3.28515625" style="57" customWidth="1"/>
    <col min="6848" max="6848" width="4.140625" style="57" customWidth="1"/>
    <col min="6849" max="6849" width="1.7109375" style="57" customWidth="1"/>
    <col min="6850" max="6854" width="3.28515625" style="57" customWidth="1"/>
    <col min="6855" max="6855" width="1.7109375" style="57" customWidth="1"/>
    <col min="6856" max="6860" width="3.28515625" style="57" customWidth="1"/>
    <col min="6861" max="6866" width="9.140625" style="57" customWidth="1"/>
    <col min="6867" max="6867" width="1.7109375" style="57" customWidth="1"/>
    <col min="6868" max="6872" width="3.28515625" style="57" customWidth="1"/>
    <col min="6873" max="6873" width="1.7109375" style="57" customWidth="1"/>
    <col min="6874" max="6874" width="16.5703125" style="57" bestFit="1" customWidth="1"/>
    <col min="6875" max="6876" width="10.28515625" style="57" customWidth="1"/>
    <col min="6877" max="6877" width="18" style="57" bestFit="1" customWidth="1"/>
    <col min="6878" max="7062" width="9.140625" style="57"/>
    <col min="7063" max="7070" width="9.140625" style="57" customWidth="1"/>
    <col min="7071" max="7071" width="10.140625" style="57" customWidth="1"/>
    <col min="7072" max="7072" width="1" style="57" customWidth="1"/>
    <col min="7073" max="7075" width="3.28515625" style="57" customWidth="1"/>
    <col min="7076" max="7076" width="1.85546875" style="57" customWidth="1"/>
    <col min="7077" max="7077" width="17.85546875" style="57" customWidth="1"/>
    <col min="7078" max="7078" width="1.85546875" style="57" customWidth="1"/>
    <col min="7079" max="7081" width="3.28515625" style="57" customWidth="1"/>
    <col min="7082" max="7082" width="2.85546875" style="57" customWidth="1"/>
    <col min="7083" max="7083" width="1.85546875" style="57" customWidth="1"/>
    <col min="7084" max="7084" width="19.7109375" style="57" customWidth="1"/>
    <col min="7085" max="7085" width="1.85546875" style="57" customWidth="1"/>
    <col min="7086" max="7088" width="3" style="57" customWidth="1"/>
    <col min="7089" max="7089" width="4.42578125" style="57" customWidth="1"/>
    <col min="7090" max="7091" width="3" style="57" customWidth="1"/>
    <col min="7092" max="7097" width="3.28515625" style="57" customWidth="1"/>
    <col min="7098" max="7099" width="9.140625" style="57" customWidth="1"/>
    <col min="7100" max="7103" width="3.28515625" style="57" customWidth="1"/>
    <col min="7104" max="7104" width="4.140625" style="57" customWidth="1"/>
    <col min="7105" max="7105" width="1.7109375" style="57" customWidth="1"/>
    <col min="7106" max="7110" width="3.28515625" style="57" customWidth="1"/>
    <col min="7111" max="7111" width="1.7109375" style="57" customWidth="1"/>
    <col min="7112" max="7116" width="3.28515625" style="57" customWidth="1"/>
    <col min="7117" max="7122" width="9.140625" style="57" customWidth="1"/>
    <col min="7123" max="7123" width="1.7109375" style="57" customWidth="1"/>
    <col min="7124" max="7128" width="3.28515625" style="57" customWidth="1"/>
    <col min="7129" max="7129" width="1.7109375" style="57" customWidth="1"/>
    <col min="7130" max="7130" width="16.5703125" style="57" bestFit="1" customWidth="1"/>
    <col min="7131" max="7132" width="10.28515625" style="57" customWidth="1"/>
    <col min="7133" max="7133" width="18" style="57" bestFit="1" customWidth="1"/>
    <col min="7134" max="7318" width="9.140625" style="57"/>
    <col min="7319" max="7326" width="9.140625" style="57" customWidth="1"/>
    <col min="7327" max="7327" width="10.140625" style="57" customWidth="1"/>
    <col min="7328" max="7328" width="1" style="57" customWidth="1"/>
    <col min="7329" max="7331" width="3.28515625" style="57" customWidth="1"/>
    <col min="7332" max="7332" width="1.85546875" style="57" customWidth="1"/>
    <col min="7333" max="7333" width="17.85546875" style="57" customWidth="1"/>
    <col min="7334" max="7334" width="1.85546875" style="57" customWidth="1"/>
    <col min="7335" max="7337" width="3.28515625" style="57" customWidth="1"/>
    <col min="7338" max="7338" width="2.85546875" style="57" customWidth="1"/>
    <col min="7339" max="7339" width="1.85546875" style="57" customWidth="1"/>
    <col min="7340" max="7340" width="19.7109375" style="57" customWidth="1"/>
    <col min="7341" max="7341" width="1.85546875" style="57" customWidth="1"/>
    <col min="7342" max="7344" width="3" style="57" customWidth="1"/>
    <col min="7345" max="7345" width="4.42578125" style="57" customWidth="1"/>
    <col min="7346" max="7347" width="3" style="57" customWidth="1"/>
    <col min="7348" max="7353" width="3.28515625" style="57" customWidth="1"/>
    <col min="7354" max="7355" width="9.140625" style="57" customWidth="1"/>
    <col min="7356" max="7359" width="3.28515625" style="57" customWidth="1"/>
    <col min="7360" max="7360" width="4.140625" style="57" customWidth="1"/>
    <col min="7361" max="7361" width="1.7109375" style="57" customWidth="1"/>
    <col min="7362" max="7366" width="3.28515625" style="57" customWidth="1"/>
    <col min="7367" max="7367" width="1.7109375" style="57" customWidth="1"/>
    <col min="7368" max="7372" width="3.28515625" style="57" customWidth="1"/>
    <col min="7373" max="7378" width="9.140625" style="57" customWidth="1"/>
    <col min="7379" max="7379" width="1.7109375" style="57" customWidth="1"/>
    <col min="7380" max="7384" width="3.28515625" style="57" customWidth="1"/>
    <col min="7385" max="7385" width="1.7109375" style="57" customWidth="1"/>
    <col min="7386" max="7386" width="16.5703125" style="57" bestFit="1" customWidth="1"/>
    <col min="7387" max="7388" width="10.28515625" style="57" customWidth="1"/>
    <col min="7389" max="7389" width="18" style="57" bestFit="1" customWidth="1"/>
    <col min="7390" max="7574" width="9.140625" style="57"/>
    <col min="7575" max="7582" width="9.140625" style="57" customWidth="1"/>
    <col min="7583" max="7583" width="10.140625" style="57" customWidth="1"/>
    <col min="7584" max="7584" width="1" style="57" customWidth="1"/>
    <col min="7585" max="7587" width="3.28515625" style="57" customWidth="1"/>
    <col min="7588" max="7588" width="1.85546875" style="57" customWidth="1"/>
    <col min="7589" max="7589" width="17.85546875" style="57" customWidth="1"/>
    <col min="7590" max="7590" width="1.85546875" style="57" customWidth="1"/>
    <col min="7591" max="7593" width="3.28515625" style="57" customWidth="1"/>
    <col min="7594" max="7594" width="2.85546875" style="57" customWidth="1"/>
    <col min="7595" max="7595" width="1.85546875" style="57" customWidth="1"/>
    <col min="7596" max="7596" width="19.7109375" style="57" customWidth="1"/>
    <col min="7597" max="7597" width="1.85546875" style="57" customWidth="1"/>
    <col min="7598" max="7600" width="3" style="57" customWidth="1"/>
    <col min="7601" max="7601" width="4.42578125" style="57" customWidth="1"/>
    <col min="7602" max="7603" width="3" style="57" customWidth="1"/>
    <col min="7604" max="7609" width="3.28515625" style="57" customWidth="1"/>
    <col min="7610" max="7611" width="9.140625" style="57" customWidth="1"/>
    <col min="7612" max="7615" width="3.28515625" style="57" customWidth="1"/>
    <col min="7616" max="7616" width="4.140625" style="57" customWidth="1"/>
    <col min="7617" max="7617" width="1.7109375" style="57" customWidth="1"/>
    <col min="7618" max="7622" width="3.28515625" style="57" customWidth="1"/>
    <col min="7623" max="7623" width="1.7109375" style="57" customWidth="1"/>
    <col min="7624" max="7628" width="3.28515625" style="57" customWidth="1"/>
    <col min="7629" max="7634" width="9.140625" style="57" customWidth="1"/>
    <col min="7635" max="7635" width="1.7109375" style="57" customWidth="1"/>
    <col min="7636" max="7640" width="3.28515625" style="57" customWidth="1"/>
    <col min="7641" max="7641" width="1.7109375" style="57" customWidth="1"/>
    <col min="7642" max="7642" width="16.5703125" style="57" bestFit="1" customWidth="1"/>
    <col min="7643" max="7644" width="10.28515625" style="57" customWidth="1"/>
    <col min="7645" max="7645" width="18" style="57" bestFit="1" customWidth="1"/>
    <col min="7646" max="7830" width="9.140625" style="57"/>
    <col min="7831" max="7838" width="9.140625" style="57" customWidth="1"/>
    <col min="7839" max="7839" width="10.140625" style="57" customWidth="1"/>
    <col min="7840" max="7840" width="1" style="57" customWidth="1"/>
    <col min="7841" max="7843" width="3.28515625" style="57" customWidth="1"/>
    <col min="7844" max="7844" width="1.85546875" style="57" customWidth="1"/>
    <col min="7845" max="7845" width="17.85546875" style="57" customWidth="1"/>
    <col min="7846" max="7846" width="1.85546875" style="57" customWidth="1"/>
    <col min="7847" max="7849" width="3.28515625" style="57" customWidth="1"/>
    <col min="7850" max="7850" width="2.85546875" style="57" customWidth="1"/>
    <col min="7851" max="7851" width="1.85546875" style="57" customWidth="1"/>
    <col min="7852" max="7852" width="19.7109375" style="57" customWidth="1"/>
    <col min="7853" max="7853" width="1.85546875" style="57" customWidth="1"/>
    <col min="7854" max="7856" width="3" style="57" customWidth="1"/>
    <col min="7857" max="7857" width="4.42578125" style="57" customWidth="1"/>
    <col min="7858" max="7859" width="3" style="57" customWidth="1"/>
    <col min="7860" max="7865" width="3.28515625" style="57" customWidth="1"/>
    <col min="7866" max="7867" width="9.140625" style="57" customWidth="1"/>
    <col min="7868" max="7871" width="3.28515625" style="57" customWidth="1"/>
    <col min="7872" max="7872" width="4.140625" style="57" customWidth="1"/>
    <col min="7873" max="7873" width="1.7109375" style="57" customWidth="1"/>
    <col min="7874" max="7878" width="3.28515625" style="57" customWidth="1"/>
    <col min="7879" max="7879" width="1.7109375" style="57" customWidth="1"/>
    <col min="7880" max="7884" width="3.28515625" style="57" customWidth="1"/>
    <col min="7885" max="7890" width="9.140625" style="57" customWidth="1"/>
    <col min="7891" max="7891" width="1.7109375" style="57" customWidth="1"/>
    <col min="7892" max="7896" width="3.28515625" style="57" customWidth="1"/>
    <col min="7897" max="7897" width="1.7109375" style="57" customWidth="1"/>
    <col min="7898" max="7898" width="16.5703125" style="57" bestFit="1" customWidth="1"/>
    <col min="7899" max="7900" width="10.28515625" style="57" customWidth="1"/>
    <col min="7901" max="7901" width="18" style="57" bestFit="1" customWidth="1"/>
    <col min="7902" max="8086" width="9.140625" style="57"/>
    <col min="8087" max="8094" width="9.140625" style="57" customWidth="1"/>
    <col min="8095" max="8095" width="10.140625" style="57" customWidth="1"/>
    <col min="8096" max="8096" width="1" style="57" customWidth="1"/>
    <col min="8097" max="8099" width="3.28515625" style="57" customWidth="1"/>
    <col min="8100" max="8100" width="1.85546875" style="57" customWidth="1"/>
    <col min="8101" max="8101" width="17.85546875" style="57" customWidth="1"/>
    <col min="8102" max="8102" width="1.85546875" style="57" customWidth="1"/>
    <col min="8103" max="8105" width="3.28515625" style="57" customWidth="1"/>
    <col min="8106" max="8106" width="2.85546875" style="57" customWidth="1"/>
    <col min="8107" max="8107" width="1.85546875" style="57" customWidth="1"/>
    <col min="8108" max="8108" width="19.7109375" style="57" customWidth="1"/>
    <col min="8109" max="8109" width="1.85546875" style="57" customWidth="1"/>
    <col min="8110" max="8112" width="3" style="57" customWidth="1"/>
    <col min="8113" max="8113" width="4.42578125" style="57" customWidth="1"/>
    <col min="8114" max="8115" width="3" style="57" customWidth="1"/>
    <col min="8116" max="8121" width="3.28515625" style="57" customWidth="1"/>
    <col min="8122" max="8123" width="9.140625" style="57" customWidth="1"/>
    <col min="8124" max="8127" width="3.28515625" style="57" customWidth="1"/>
    <col min="8128" max="8128" width="4.140625" style="57" customWidth="1"/>
    <col min="8129" max="8129" width="1.7109375" style="57" customWidth="1"/>
    <col min="8130" max="8134" width="3.28515625" style="57" customWidth="1"/>
    <col min="8135" max="8135" width="1.7109375" style="57" customWidth="1"/>
    <col min="8136" max="8140" width="3.28515625" style="57" customWidth="1"/>
    <col min="8141" max="8146" width="9.140625" style="57" customWidth="1"/>
    <col min="8147" max="8147" width="1.7109375" style="57" customWidth="1"/>
    <col min="8148" max="8152" width="3.28515625" style="57" customWidth="1"/>
    <col min="8153" max="8153" width="1.7109375" style="57" customWidth="1"/>
    <col min="8154" max="8154" width="16.5703125" style="57" bestFit="1" customWidth="1"/>
    <col min="8155" max="8156" width="10.28515625" style="57" customWidth="1"/>
    <col min="8157" max="8157" width="18" style="57" bestFit="1" customWidth="1"/>
    <col min="8158" max="8342" width="9.140625" style="57"/>
    <col min="8343" max="8350" width="9.140625" style="57" customWidth="1"/>
    <col min="8351" max="8351" width="10.140625" style="57" customWidth="1"/>
    <col min="8352" max="8352" width="1" style="57" customWidth="1"/>
    <col min="8353" max="8355" width="3.28515625" style="57" customWidth="1"/>
    <col min="8356" max="8356" width="1.85546875" style="57" customWidth="1"/>
    <col min="8357" max="8357" width="17.85546875" style="57" customWidth="1"/>
    <col min="8358" max="8358" width="1.85546875" style="57" customWidth="1"/>
    <col min="8359" max="8361" width="3.28515625" style="57" customWidth="1"/>
    <col min="8362" max="8362" width="2.85546875" style="57" customWidth="1"/>
    <col min="8363" max="8363" width="1.85546875" style="57" customWidth="1"/>
    <col min="8364" max="8364" width="19.7109375" style="57" customWidth="1"/>
    <col min="8365" max="8365" width="1.85546875" style="57" customWidth="1"/>
    <col min="8366" max="8368" width="3" style="57" customWidth="1"/>
    <col min="8369" max="8369" width="4.42578125" style="57" customWidth="1"/>
    <col min="8370" max="8371" width="3" style="57" customWidth="1"/>
    <col min="8372" max="8377" width="3.28515625" style="57" customWidth="1"/>
    <col min="8378" max="8379" width="9.140625" style="57" customWidth="1"/>
    <col min="8380" max="8383" width="3.28515625" style="57" customWidth="1"/>
    <col min="8384" max="8384" width="4.140625" style="57" customWidth="1"/>
    <col min="8385" max="8385" width="1.7109375" style="57" customWidth="1"/>
    <col min="8386" max="8390" width="3.28515625" style="57" customWidth="1"/>
    <col min="8391" max="8391" width="1.7109375" style="57" customWidth="1"/>
    <col min="8392" max="8396" width="3.28515625" style="57" customWidth="1"/>
    <col min="8397" max="8402" width="9.140625" style="57" customWidth="1"/>
    <col min="8403" max="8403" width="1.7109375" style="57" customWidth="1"/>
    <col min="8404" max="8408" width="3.28515625" style="57" customWidth="1"/>
    <col min="8409" max="8409" width="1.7109375" style="57" customWidth="1"/>
    <col min="8410" max="8410" width="16.5703125" style="57" bestFit="1" customWidth="1"/>
    <col min="8411" max="8412" width="10.28515625" style="57" customWidth="1"/>
    <col min="8413" max="8413" width="18" style="57" bestFit="1" customWidth="1"/>
    <col min="8414" max="8598" width="9.140625" style="57"/>
    <col min="8599" max="8606" width="9.140625" style="57" customWidth="1"/>
    <col min="8607" max="8607" width="10.140625" style="57" customWidth="1"/>
    <col min="8608" max="8608" width="1" style="57" customWidth="1"/>
    <col min="8609" max="8611" width="3.28515625" style="57" customWidth="1"/>
    <col min="8612" max="8612" width="1.85546875" style="57" customWidth="1"/>
    <col min="8613" max="8613" width="17.85546875" style="57" customWidth="1"/>
    <col min="8614" max="8614" width="1.85546875" style="57" customWidth="1"/>
    <col min="8615" max="8617" width="3.28515625" style="57" customWidth="1"/>
    <col min="8618" max="8618" width="2.85546875" style="57" customWidth="1"/>
    <col min="8619" max="8619" width="1.85546875" style="57" customWidth="1"/>
    <col min="8620" max="8620" width="19.7109375" style="57" customWidth="1"/>
    <col min="8621" max="8621" width="1.85546875" style="57" customWidth="1"/>
    <col min="8622" max="8624" width="3" style="57" customWidth="1"/>
    <col min="8625" max="8625" width="4.42578125" style="57" customWidth="1"/>
    <col min="8626" max="8627" width="3" style="57" customWidth="1"/>
    <col min="8628" max="8633" width="3.28515625" style="57" customWidth="1"/>
    <col min="8634" max="8635" width="9.140625" style="57" customWidth="1"/>
    <col min="8636" max="8639" width="3.28515625" style="57" customWidth="1"/>
    <col min="8640" max="8640" width="4.140625" style="57" customWidth="1"/>
    <col min="8641" max="8641" width="1.7109375" style="57" customWidth="1"/>
    <col min="8642" max="8646" width="3.28515625" style="57" customWidth="1"/>
    <col min="8647" max="8647" width="1.7109375" style="57" customWidth="1"/>
    <col min="8648" max="8652" width="3.28515625" style="57" customWidth="1"/>
    <col min="8653" max="8658" width="9.140625" style="57" customWidth="1"/>
    <col min="8659" max="8659" width="1.7109375" style="57" customWidth="1"/>
    <col min="8660" max="8664" width="3.28515625" style="57" customWidth="1"/>
    <col min="8665" max="8665" width="1.7109375" style="57" customWidth="1"/>
    <col min="8666" max="8666" width="16.5703125" style="57" bestFit="1" customWidth="1"/>
    <col min="8667" max="8668" width="10.28515625" style="57" customWidth="1"/>
    <col min="8669" max="8669" width="18" style="57" bestFit="1" customWidth="1"/>
    <col min="8670" max="8854" width="9.140625" style="57"/>
    <col min="8855" max="8862" width="9.140625" style="57" customWidth="1"/>
    <col min="8863" max="8863" width="10.140625" style="57" customWidth="1"/>
    <col min="8864" max="8864" width="1" style="57" customWidth="1"/>
    <col min="8865" max="8867" width="3.28515625" style="57" customWidth="1"/>
    <col min="8868" max="8868" width="1.85546875" style="57" customWidth="1"/>
    <col min="8869" max="8869" width="17.85546875" style="57" customWidth="1"/>
    <col min="8870" max="8870" width="1.85546875" style="57" customWidth="1"/>
    <col min="8871" max="8873" width="3.28515625" style="57" customWidth="1"/>
    <col min="8874" max="8874" width="2.85546875" style="57" customWidth="1"/>
    <col min="8875" max="8875" width="1.85546875" style="57" customWidth="1"/>
    <col min="8876" max="8876" width="19.7109375" style="57" customWidth="1"/>
    <col min="8877" max="8877" width="1.85546875" style="57" customWidth="1"/>
    <col min="8878" max="8880" width="3" style="57" customWidth="1"/>
    <col min="8881" max="8881" width="4.42578125" style="57" customWidth="1"/>
    <col min="8882" max="8883" width="3" style="57" customWidth="1"/>
    <col min="8884" max="8889" width="3.28515625" style="57" customWidth="1"/>
    <col min="8890" max="8891" width="9.140625" style="57" customWidth="1"/>
    <col min="8892" max="8895" width="3.28515625" style="57" customWidth="1"/>
    <col min="8896" max="8896" width="4.140625" style="57" customWidth="1"/>
    <col min="8897" max="8897" width="1.7109375" style="57" customWidth="1"/>
    <col min="8898" max="8902" width="3.28515625" style="57" customWidth="1"/>
    <col min="8903" max="8903" width="1.7109375" style="57" customWidth="1"/>
    <col min="8904" max="8908" width="3.28515625" style="57" customWidth="1"/>
    <col min="8909" max="8914" width="9.140625" style="57" customWidth="1"/>
    <col min="8915" max="8915" width="1.7109375" style="57" customWidth="1"/>
    <col min="8916" max="8920" width="3.28515625" style="57" customWidth="1"/>
    <col min="8921" max="8921" width="1.7109375" style="57" customWidth="1"/>
    <col min="8922" max="8922" width="16.5703125" style="57" bestFit="1" customWidth="1"/>
    <col min="8923" max="8924" width="10.28515625" style="57" customWidth="1"/>
    <col min="8925" max="8925" width="18" style="57" bestFit="1" customWidth="1"/>
    <col min="8926" max="9110" width="9.140625" style="57"/>
    <col min="9111" max="9118" width="9.140625" style="57" customWidth="1"/>
    <col min="9119" max="9119" width="10.140625" style="57" customWidth="1"/>
    <col min="9120" max="9120" width="1" style="57" customWidth="1"/>
    <col min="9121" max="9123" width="3.28515625" style="57" customWidth="1"/>
    <col min="9124" max="9124" width="1.85546875" style="57" customWidth="1"/>
    <col min="9125" max="9125" width="17.85546875" style="57" customWidth="1"/>
    <col min="9126" max="9126" width="1.85546875" style="57" customWidth="1"/>
    <col min="9127" max="9129" width="3.28515625" style="57" customWidth="1"/>
    <col min="9130" max="9130" width="2.85546875" style="57" customWidth="1"/>
    <col min="9131" max="9131" width="1.85546875" style="57" customWidth="1"/>
    <col min="9132" max="9132" width="19.7109375" style="57" customWidth="1"/>
    <col min="9133" max="9133" width="1.85546875" style="57" customWidth="1"/>
    <col min="9134" max="9136" width="3" style="57" customWidth="1"/>
    <col min="9137" max="9137" width="4.42578125" style="57" customWidth="1"/>
    <col min="9138" max="9139" width="3" style="57" customWidth="1"/>
    <col min="9140" max="9145" width="3.28515625" style="57" customWidth="1"/>
    <col min="9146" max="9147" width="9.140625" style="57" customWidth="1"/>
    <col min="9148" max="9151" width="3.28515625" style="57" customWidth="1"/>
    <col min="9152" max="9152" width="4.140625" style="57" customWidth="1"/>
    <col min="9153" max="9153" width="1.7109375" style="57" customWidth="1"/>
    <col min="9154" max="9158" width="3.28515625" style="57" customWidth="1"/>
    <col min="9159" max="9159" width="1.7109375" style="57" customWidth="1"/>
    <col min="9160" max="9164" width="3.28515625" style="57" customWidth="1"/>
    <col min="9165" max="9170" width="9.140625" style="57" customWidth="1"/>
    <col min="9171" max="9171" width="1.7109375" style="57" customWidth="1"/>
    <col min="9172" max="9176" width="3.28515625" style="57" customWidth="1"/>
    <col min="9177" max="9177" width="1.7109375" style="57" customWidth="1"/>
    <col min="9178" max="9178" width="16.5703125" style="57" bestFit="1" customWidth="1"/>
    <col min="9179" max="9180" width="10.28515625" style="57" customWidth="1"/>
    <col min="9181" max="9181" width="18" style="57" bestFit="1" customWidth="1"/>
    <col min="9182" max="9366" width="9.140625" style="57"/>
    <col min="9367" max="9374" width="9.140625" style="57" customWidth="1"/>
    <col min="9375" max="9375" width="10.140625" style="57" customWidth="1"/>
    <col min="9376" max="9376" width="1" style="57" customWidth="1"/>
    <col min="9377" max="9379" width="3.28515625" style="57" customWidth="1"/>
    <col min="9380" max="9380" width="1.85546875" style="57" customWidth="1"/>
    <col min="9381" max="9381" width="17.85546875" style="57" customWidth="1"/>
    <col min="9382" max="9382" width="1.85546875" style="57" customWidth="1"/>
    <col min="9383" max="9385" width="3.28515625" style="57" customWidth="1"/>
    <col min="9386" max="9386" width="2.85546875" style="57" customWidth="1"/>
    <col min="9387" max="9387" width="1.85546875" style="57" customWidth="1"/>
    <col min="9388" max="9388" width="19.7109375" style="57" customWidth="1"/>
    <col min="9389" max="9389" width="1.85546875" style="57" customWidth="1"/>
    <col min="9390" max="9392" width="3" style="57" customWidth="1"/>
    <col min="9393" max="9393" width="4.42578125" style="57" customWidth="1"/>
    <col min="9394" max="9395" width="3" style="57" customWidth="1"/>
    <col min="9396" max="9401" width="3.28515625" style="57" customWidth="1"/>
    <col min="9402" max="9403" width="9.140625" style="57" customWidth="1"/>
    <col min="9404" max="9407" width="3.28515625" style="57" customWidth="1"/>
    <col min="9408" max="9408" width="4.140625" style="57" customWidth="1"/>
    <col min="9409" max="9409" width="1.7109375" style="57" customWidth="1"/>
    <col min="9410" max="9414" width="3.28515625" style="57" customWidth="1"/>
    <col min="9415" max="9415" width="1.7109375" style="57" customWidth="1"/>
    <col min="9416" max="9420" width="3.28515625" style="57" customWidth="1"/>
    <col min="9421" max="9426" width="9.140625" style="57" customWidth="1"/>
    <col min="9427" max="9427" width="1.7109375" style="57" customWidth="1"/>
    <col min="9428" max="9432" width="3.28515625" style="57" customWidth="1"/>
    <col min="9433" max="9433" width="1.7109375" style="57" customWidth="1"/>
    <col min="9434" max="9434" width="16.5703125" style="57" bestFit="1" customWidth="1"/>
    <col min="9435" max="9436" width="10.28515625" style="57" customWidth="1"/>
    <col min="9437" max="9437" width="18" style="57" bestFit="1" customWidth="1"/>
    <col min="9438" max="9622" width="9.140625" style="57"/>
    <col min="9623" max="9630" width="9.140625" style="57" customWidth="1"/>
    <col min="9631" max="9631" width="10.140625" style="57" customWidth="1"/>
    <col min="9632" max="9632" width="1" style="57" customWidth="1"/>
    <col min="9633" max="9635" width="3.28515625" style="57" customWidth="1"/>
    <col min="9636" max="9636" width="1.85546875" style="57" customWidth="1"/>
    <col min="9637" max="9637" width="17.85546875" style="57" customWidth="1"/>
    <col min="9638" max="9638" width="1.85546875" style="57" customWidth="1"/>
    <col min="9639" max="9641" width="3.28515625" style="57" customWidth="1"/>
    <col min="9642" max="9642" width="2.85546875" style="57" customWidth="1"/>
    <col min="9643" max="9643" width="1.85546875" style="57" customWidth="1"/>
    <col min="9644" max="9644" width="19.7109375" style="57" customWidth="1"/>
    <col min="9645" max="9645" width="1.85546875" style="57" customWidth="1"/>
    <col min="9646" max="9648" width="3" style="57" customWidth="1"/>
    <col min="9649" max="9649" width="4.42578125" style="57" customWidth="1"/>
    <col min="9650" max="9651" width="3" style="57" customWidth="1"/>
    <col min="9652" max="9657" width="3.28515625" style="57" customWidth="1"/>
    <col min="9658" max="9659" width="9.140625" style="57" customWidth="1"/>
    <col min="9660" max="9663" width="3.28515625" style="57" customWidth="1"/>
    <col min="9664" max="9664" width="4.140625" style="57" customWidth="1"/>
    <col min="9665" max="9665" width="1.7109375" style="57" customWidth="1"/>
    <col min="9666" max="9670" width="3.28515625" style="57" customWidth="1"/>
    <col min="9671" max="9671" width="1.7109375" style="57" customWidth="1"/>
    <col min="9672" max="9676" width="3.28515625" style="57" customWidth="1"/>
    <col min="9677" max="9682" width="9.140625" style="57" customWidth="1"/>
    <col min="9683" max="9683" width="1.7109375" style="57" customWidth="1"/>
    <col min="9684" max="9688" width="3.28515625" style="57" customWidth="1"/>
    <col min="9689" max="9689" width="1.7109375" style="57" customWidth="1"/>
    <col min="9690" max="9690" width="16.5703125" style="57" bestFit="1" customWidth="1"/>
    <col min="9691" max="9692" width="10.28515625" style="57" customWidth="1"/>
    <col min="9693" max="9693" width="18" style="57" bestFit="1" customWidth="1"/>
    <col min="9694" max="9878" width="9.140625" style="57"/>
    <col min="9879" max="9886" width="9.140625" style="57" customWidth="1"/>
    <col min="9887" max="9887" width="10.140625" style="57" customWidth="1"/>
    <col min="9888" max="9888" width="1" style="57" customWidth="1"/>
    <col min="9889" max="9891" width="3.28515625" style="57" customWidth="1"/>
    <col min="9892" max="9892" width="1.85546875" style="57" customWidth="1"/>
    <col min="9893" max="9893" width="17.85546875" style="57" customWidth="1"/>
    <col min="9894" max="9894" width="1.85546875" style="57" customWidth="1"/>
    <col min="9895" max="9897" width="3.28515625" style="57" customWidth="1"/>
    <col min="9898" max="9898" width="2.85546875" style="57" customWidth="1"/>
    <col min="9899" max="9899" width="1.85546875" style="57" customWidth="1"/>
    <col min="9900" max="9900" width="19.7109375" style="57" customWidth="1"/>
    <col min="9901" max="9901" width="1.85546875" style="57" customWidth="1"/>
    <col min="9902" max="9904" width="3" style="57" customWidth="1"/>
    <col min="9905" max="9905" width="4.42578125" style="57" customWidth="1"/>
    <col min="9906" max="9907" width="3" style="57" customWidth="1"/>
    <col min="9908" max="9913" width="3.28515625" style="57" customWidth="1"/>
    <col min="9914" max="9915" width="9.140625" style="57" customWidth="1"/>
    <col min="9916" max="9919" width="3.28515625" style="57" customWidth="1"/>
    <col min="9920" max="9920" width="4.140625" style="57" customWidth="1"/>
    <col min="9921" max="9921" width="1.7109375" style="57" customWidth="1"/>
    <col min="9922" max="9926" width="3.28515625" style="57" customWidth="1"/>
    <col min="9927" max="9927" width="1.7109375" style="57" customWidth="1"/>
    <col min="9928" max="9932" width="3.28515625" style="57" customWidth="1"/>
    <col min="9933" max="9938" width="9.140625" style="57" customWidth="1"/>
    <col min="9939" max="9939" width="1.7109375" style="57" customWidth="1"/>
    <col min="9940" max="9944" width="3.28515625" style="57" customWidth="1"/>
    <col min="9945" max="9945" width="1.7109375" style="57" customWidth="1"/>
    <col min="9946" max="9946" width="16.5703125" style="57" bestFit="1" customWidth="1"/>
    <col min="9947" max="9948" width="10.28515625" style="57" customWidth="1"/>
    <col min="9949" max="9949" width="18" style="57" bestFit="1" customWidth="1"/>
    <col min="9950" max="10134" width="9.140625" style="57"/>
    <col min="10135" max="10142" width="9.140625" style="57" customWidth="1"/>
    <col min="10143" max="10143" width="10.140625" style="57" customWidth="1"/>
    <col min="10144" max="10144" width="1" style="57" customWidth="1"/>
    <col min="10145" max="10147" width="3.28515625" style="57" customWidth="1"/>
    <col min="10148" max="10148" width="1.85546875" style="57" customWidth="1"/>
    <col min="10149" max="10149" width="17.85546875" style="57" customWidth="1"/>
    <col min="10150" max="10150" width="1.85546875" style="57" customWidth="1"/>
    <col min="10151" max="10153" width="3.28515625" style="57" customWidth="1"/>
    <col min="10154" max="10154" width="2.85546875" style="57" customWidth="1"/>
    <col min="10155" max="10155" width="1.85546875" style="57" customWidth="1"/>
    <col min="10156" max="10156" width="19.7109375" style="57" customWidth="1"/>
    <col min="10157" max="10157" width="1.85546875" style="57" customWidth="1"/>
    <col min="10158" max="10160" width="3" style="57" customWidth="1"/>
    <col min="10161" max="10161" width="4.42578125" style="57" customWidth="1"/>
    <col min="10162" max="10163" width="3" style="57" customWidth="1"/>
    <col min="10164" max="10169" width="3.28515625" style="57" customWidth="1"/>
    <col min="10170" max="10171" width="9.140625" style="57" customWidth="1"/>
    <col min="10172" max="10175" width="3.28515625" style="57" customWidth="1"/>
    <col min="10176" max="10176" width="4.140625" style="57" customWidth="1"/>
    <col min="10177" max="10177" width="1.7109375" style="57" customWidth="1"/>
    <col min="10178" max="10182" width="3.28515625" style="57" customWidth="1"/>
    <col min="10183" max="10183" width="1.7109375" style="57" customWidth="1"/>
    <col min="10184" max="10188" width="3.28515625" style="57" customWidth="1"/>
    <col min="10189" max="10194" width="9.140625" style="57" customWidth="1"/>
    <col min="10195" max="10195" width="1.7109375" style="57" customWidth="1"/>
    <col min="10196" max="10200" width="3.28515625" style="57" customWidth="1"/>
    <col min="10201" max="10201" width="1.7109375" style="57" customWidth="1"/>
    <col min="10202" max="10202" width="16.5703125" style="57" bestFit="1" customWidth="1"/>
    <col min="10203" max="10204" width="10.28515625" style="57" customWidth="1"/>
    <col min="10205" max="10205" width="18" style="57" bestFit="1" customWidth="1"/>
    <col min="10206" max="10390" width="9.140625" style="57"/>
    <col min="10391" max="10398" width="9.140625" style="57" customWidth="1"/>
    <col min="10399" max="10399" width="10.140625" style="57" customWidth="1"/>
    <col min="10400" max="10400" width="1" style="57" customWidth="1"/>
    <col min="10401" max="10403" width="3.28515625" style="57" customWidth="1"/>
    <col min="10404" max="10404" width="1.85546875" style="57" customWidth="1"/>
    <col min="10405" max="10405" width="17.85546875" style="57" customWidth="1"/>
    <col min="10406" max="10406" width="1.85546875" style="57" customWidth="1"/>
    <col min="10407" max="10409" width="3.28515625" style="57" customWidth="1"/>
    <col min="10410" max="10410" width="2.85546875" style="57" customWidth="1"/>
    <col min="10411" max="10411" width="1.85546875" style="57" customWidth="1"/>
    <col min="10412" max="10412" width="19.7109375" style="57" customWidth="1"/>
    <col min="10413" max="10413" width="1.85546875" style="57" customWidth="1"/>
    <col min="10414" max="10416" width="3" style="57" customWidth="1"/>
    <col min="10417" max="10417" width="4.42578125" style="57" customWidth="1"/>
    <col min="10418" max="10419" width="3" style="57" customWidth="1"/>
    <col min="10420" max="10425" width="3.28515625" style="57" customWidth="1"/>
    <col min="10426" max="10427" width="9.140625" style="57" customWidth="1"/>
    <col min="10428" max="10431" width="3.28515625" style="57" customWidth="1"/>
    <col min="10432" max="10432" width="4.140625" style="57" customWidth="1"/>
    <col min="10433" max="10433" width="1.7109375" style="57" customWidth="1"/>
    <col min="10434" max="10438" width="3.28515625" style="57" customWidth="1"/>
    <col min="10439" max="10439" width="1.7109375" style="57" customWidth="1"/>
    <col min="10440" max="10444" width="3.28515625" style="57" customWidth="1"/>
    <col min="10445" max="10450" width="9.140625" style="57" customWidth="1"/>
    <col min="10451" max="10451" width="1.7109375" style="57" customWidth="1"/>
    <col min="10452" max="10456" width="3.28515625" style="57" customWidth="1"/>
    <col min="10457" max="10457" width="1.7109375" style="57" customWidth="1"/>
    <col min="10458" max="10458" width="16.5703125" style="57" bestFit="1" customWidth="1"/>
    <col min="10459" max="10460" width="10.28515625" style="57" customWidth="1"/>
    <col min="10461" max="10461" width="18" style="57" bestFit="1" customWidth="1"/>
    <col min="10462" max="10646" width="9.140625" style="57"/>
    <col min="10647" max="10654" width="9.140625" style="57" customWidth="1"/>
    <col min="10655" max="10655" width="10.140625" style="57" customWidth="1"/>
    <col min="10656" max="10656" width="1" style="57" customWidth="1"/>
    <col min="10657" max="10659" width="3.28515625" style="57" customWidth="1"/>
    <col min="10660" max="10660" width="1.85546875" style="57" customWidth="1"/>
    <col min="10661" max="10661" width="17.85546875" style="57" customWidth="1"/>
    <col min="10662" max="10662" width="1.85546875" style="57" customWidth="1"/>
    <col min="10663" max="10665" width="3.28515625" style="57" customWidth="1"/>
    <col min="10666" max="10666" width="2.85546875" style="57" customWidth="1"/>
    <col min="10667" max="10667" width="1.85546875" style="57" customWidth="1"/>
    <col min="10668" max="10668" width="19.7109375" style="57" customWidth="1"/>
    <col min="10669" max="10669" width="1.85546875" style="57" customWidth="1"/>
    <col min="10670" max="10672" width="3" style="57" customWidth="1"/>
    <col min="10673" max="10673" width="4.42578125" style="57" customWidth="1"/>
    <col min="10674" max="10675" width="3" style="57" customWidth="1"/>
    <col min="10676" max="10681" width="3.28515625" style="57" customWidth="1"/>
    <col min="10682" max="10683" width="9.140625" style="57" customWidth="1"/>
    <col min="10684" max="10687" width="3.28515625" style="57" customWidth="1"/>
    <col min="10688" max="10688" width="4.140625" style="57" customWidth="1"/>
    <col min="10689" max="10689" width="1.7109375" style="57" customWidth="1"/>
    <col min="10690" max="10694" width="3.28515625" style="57" customWidth="1"/>
    <col min="10695" max="10695" width="1.7109375" style="57" customWidth="1"/>
    <col min="10696" max="10700" width="3.28515625" style="57" customWidth="1"/>
    <col min="10701" max="10706" width="9.140625" style="57" customWidth="1"/>
    <col min="10707" max="10707" width="1.7109375" style="57" customWidth="1"/>
    <col min="10708" max="10712" width="3.28515625" style="57" customWidth="1"/>
    <col min="10713" max="10713" width="1.7109375" style="57" customWidth="1"/>
    <col min="10714" max="10714" width="16.5703125" style="57" bestFit="1" customWidth="1"/>
    <col min="10715" max="10716" width="10.28515625" style="57" customWidth="1"/>
    <col min="10717" max="10717" width="18" style="57" bestFit="1" customWidth="1"/>
    <col min="10718" max="10902" width="9.140625" style="57"/>
    <col min="10903" max="10910" width="9.140625" style="57" customWidth="1"/>
    <col min="10911" max="10911" width="10.140625" style="57" customWidth="1"/>
    <col min="10912" max="10912" width="1" style="57" customWidth="1"/>
    <col min="10913" max="10915" width="3.28515625" style="57" customWidth="1"/>
    <col min="10916" max="10916" width="1.85546875" style="57" customWidth="1"/>
    <col min="10917" max="10917" width="17.85546875" style="57" customWidth="1"/>
    <col min="10918" max="10918" width="1.85546875" style="57" customWidth="1"/>
    <col min="10919" max="10921" width="3.28515625" style="57" customWidth="1"/>
    <col min="10922" max="10922" width="2.85546875" style="57" customWidth="1"/>
    <col min="10923" max="10923" width="1.85546875" style="57" customWidth="1"/>
    <col min="10924" max="10924" width="19.7109375" style="57" customWidth="1"/>
    <col min="10925" max="10925" width="1.85546875" style="57" customWidth="1"/>
    <col min="10926" max="10928" width="3" style="57" customWidth="1"/>
    <col min="10929" max="10929" width="4.42578125" style="57" customWidth="1"/>
    <col min="10930" max="10931" width="3" style="57" customWidth="1"/>
    <col min="10932" max="10937" width="3.28515625" style="57" customWidth="1"/>
    <col min="10938" max="10939" width="9.140625" style="57" customWidth="1"/>
    <col min="10940" max="10943" width="3.28515625" style="57" customWidth="1"/>
    <col min="10944" max="10944" width="4.140625" style="57" customWidth="1"/>
    <col min="10945" max="10945" width="1.7109375" style="57" customWidth="1"/>
    <col min="10946" max="10950" width="3.28515625" style="57" customWidth="1"/>
    <col min="10951" max="10951" width="1.7109375" style="57" customWidth="1"/>
    <col min="10952" max="10956" width="3.28515625" style="57" customWidth="1"/>
    <col min="10957" max="10962" width="9.140625" style="57" customWidth="1"/>
    <col min="10963" max="10963" width="1.7109375" style="57" customWidth="1"/>
    <col min="10964" max="10968" width="3.28515625" style="57" customWidth="1"/>
    <col min="10969" max="10969" width="1.7109375" style="57" customWidth="1"/>
    <col min="10970" max="10970" width="16.5703125" style="57" bestFit="1" customWidth="1"/>
    <col min="10971" max="10972" width="10.28515625" style="57" customWidth="1"/>
    <col min="10973" max="10973" width="18" style="57" bestFit="1" customWidth="1"/>
    <col min="10974" max="11158" width="9.140625" style="57"/>
    <col min="11159" max="11166" width="9.140625" style="57" customWidth="1"/>
    <col min="11167" max="11167" width="10.140625" style="57" customWidth="1"/>
    <col min="11168" max="11168" width="1" style="57" customWidth="1"/>
    <col min="11169" max="11171" width="3.28515625" style="57" customWidth="1"/>
    <col min="11172" max="11172" width="1.85546875" style="57" customWidth="1"/>
    <col min="11173" max="11173" width="17.85546875" style="57" customWidth="1"/>
    <col min="11174" max="11174" width="1.85546875" style="57" customWidth="1"/>
    <col min="11175" max="11177" width="3.28515625" style="57" customWidth="1"/>
    <col min="11178" max="11178" width="2.85546875" style="57" customWidth="1"/>
    <col min="11179" max="11179" width="1.85546875" style="57" customWidth="1"/>
    <col min="11180" max="11180" width="19.7109375" style="57" customWidth="1"/>
    <col min="11181" max="11181" width="1.85546875" style="57" customWidth="1"/>
    <col min="11182" max="11184" width="3" style="57" customWidth="1"/>
    <col min="11185" max="11185" width="4.42578125" style="57" customWidth="1"/>
    <col min="11186" max="11187" width="3" style="57" customWidth="1"/>
    <col min="11188" max="11193" width="3.28515625" style="57" customWidth="1"/>
    <col min="11194" max="11195" width="9.140625" style="57" customWidth="1"/>
    <col min="11196" max="11199" width="3.28515625" style="57" customWidth="1"/>
    <col min="11200" max="11200" width="4.140625" style="57" customWidth="1"/>
    <col min="11201" max="11201" width="1.7109375" style="57" customWidth="1"/>
    <col min="11202" max="11206" width="3.28515625" style="57" customWidth="1"/>
    <col min="11207" max="11207" width="1.7109375" style="57" customWidth="1"/>
    <col min="11208" max="11212" width="3.28515625" style="57" customWidth="1"/>
    <col min="11213" max="11218" width="9.140625" style="57" customWidth="1"/>
    <col min="11219" max="11219" width="1.7109375" style="57" customWidth="1"/>
    <col min="11220" max="11224" width="3.28515625" style="57" customWidth="1"/>
    <col min="11225" max="11225" width="1.7109375" style="57" customWidth="1"/>
    <col min="11226" max="11226" width="16.5703125" style="57" bestFit="1" customWidth="1"/>
    <col min="11227" max="11228" width="10.28515625" style="57" customWidth="1"/>
    <col min="11229" max="11229" width="18" style="57" bestFit="1" customWidth="1"/>
    <col min="11230" max="11414" width="9.140625" style="57"/>
    <col min="11415" max="11422" width="9.140625" style="57" customWidth="1"/>
    <col min="11423" max="11423" width="10.140625" style="57" customWidth="1"/>
    <col min="11424" max="11424" width="1" style="57" customWidth="1"/>
    <col min="11425" max="11427" width="3.28515625" style="57" customWidth="1"/>
    <col min="11428" max="11428" width="1.85546875" style="57" customWidth="1"/>
    <col min="11429" max="11429" width="17.85546875" style="57" customWidth="1"/>
    <col min="11430" max="11430" width="1.85546875" style="57" customWidth="1"/>
    <col min="11431" max="11433" width="3.28515625" style="57" customWidth="1"/>
    <col min="11434" max="11434" width="2.85546875" style="57" customWidth="1"/>
    <col min="11435" max="11435" width="1.85546875" style="57" customWidth="1"/>
    <col min="11436" max="11436" width="19.7109375" style="57" customWidth="1"/>
    <col min="11437" max="11437" width="1.85546875" style="57" customWidth="1"/>
    <col min="11438" max="11440" width="3" style="57" customWidth="1"/>
    <col min="11441" max="11441" width="4.42578125" style="57" customWidth="1"/>
    <col min="11442" max="11443" width="3" style="57" customWidth="1"/>
    <col min="11444" max="11449" width="3.28515625" style="57" customWidth="1"/>
    <col min="11450" max="11451" width="9.140625" style="57" customWidth="1"/>
    <col min="11452" max="11455" width="3.28515625" style="57" customWidth="1"/>
    <col min="11456" max="11456" width="4.140625" style="57" customWidth="1"/>
    <col min="11457" max="11457" width="1.7109375" style="57" customWidth="1"/>
    <col min="11458" max="11462" width="3.28515625" style="57" customWidth="1"/>
    <col min="11463" max="11463" width="1.7109375" style="57" customWidth="1"/>
    <col min="11464" max="11468" width="3.28515625" style="57" customWidth="1"/>
    <col min="11469" max="11474" width="9.140625" style="57" customWidth="1"/>
    <col min="11475" max="11475" width="1.7109375" style="57" customWidth="1"/>
    <col min="11476" max="11480" width="3.28515625" style="57" customWidth="1"/>
    <col min="11481" max="11481" width="1.7109375" style="57" customWidth="1"/>
    <col min="11482" max="11482" width="16.5703125" style="57" bestFit="1" customWidth="1"/>
    <col min="11483" max="11484" width="10.28515625" style="57" customWidth="1"/>
    <col min="11485" max="11485" width="18" style="57" bestFit="1" customWidth="1"/>
    <col min="11486" max="11670" width="9.140625" style="57"/>
    <col min="11671" max="11678" width="9.140625" style="57" customWidth="1"/>
    <col min="11679" max="11679" width="10.140625" style="57" customWidth="1"/>
    <col min="11680" max="11680" width="1" style="57" customWidth="1"/>
    <col min="11681" max="11683" width="3.28515625" style="57" customWidth="1"/>
    <col min="11684" max="11684" width="1.85546875" style="57" customWidth="1"/>
    <col min="11685" max="11685" width="17.85546875" style="57" customWidth="1"/>
    <col min="11686" max="11686" width="1.85546875" style="57" customWidth="1"/>
    <col min="11687" max="11689" width="3.28515625" style="57" customWidth="1"/>
    <col min="11690" max="11690" width="2.85546875" style="57" customWidth="1"/>
    <col min="11691" max="11691" width="1.85546875" style="57" customWidth="1"/>
    <col min="11692" max="11692" width="19.7109375" style="57" customWidth="1"/>
    <col min="11693" max="11693" width="1.85546875" style="57" customWidth="1"/>
    <col min="11694" max="11696" width="3" style="57" customWidth="1"/>
    <col min="11697" max="11697" width="4.42578125" style="57" customWidth="1"/>
    <col min="11698" max="11699" width="3" style="57" customWidth="1"/>
    <col min="11700" max="11705" width="3.28515625" style="57" customWidth="1"/>
    <col min="11706" max="11707" width="9.140625" style="57" customWidth="1"/>
    <col min="11708" max="11711" width="3.28515625" style="57" customWidth="1"/>
    <col min="11712" max="11712" width="4.140625" style="57" customWidth="1"/>
    <col min="11713" max="11713" width="1.7109375" style="57" customWidth="1"/>
    <col min="11714" max="11718" width="3.28515625" style="57" customWidth="1"/>
    <col min="11719" max="11719" width="1.7109375" style="57" customWidth="1"/>
    <col min="11720" max="11724" width="3.28515625" style="57" customWidth="1"/>
    <col min="11725" max="11730" width="9.140625" style="57" customWidth="1"/>
    <col min="11731" max="11731" width="1.7109375" style="57" customWidth="1"/>
    <col min="11732" max="11736" width="3.28515625" style="57" customWidth="1"/>
    <col min="11737" max="11737" width="1.7109375" style="57" customWidth="1"/>
    <col min="11738" max="11738" width="16.5703125" style="57" bestFit="1" customWidth="1"/>
    <col min="11739" max="11740" width="10.28515625" style="57" customWidth="1"/>
    <col min="11741" max="11741" width="18" style="57" bestFit="1" customWidth="1"/>
    <col min="11742" max="11926" width="9.140625" style="57"/>
    <col min="11927" max="11934" width="9.140625" style="57" customWidth="1"/>
    <col min="11935" max="11935" width="10.140625" style="57" customWidth="1"/>
    <col min="11936" max="11936" width="1" style="57" customWidth="1"/>
    <col min="11937" max="11939" width="3.28515625" style="57" customWidth="1"/>
    <col min="11940" max="11940" width="1.85546875" style="57" customWidth="1"/>
    <col min="11941" max="11941" width="17.85546875" style="57" customWidth="1"/>
    <col min="11942" max="11942" width="1.85546875" style="57" customWidth="1"/>
    <col min="11943" max="11945" width="3.28515625" style="57" customWidth="1"/>
    <col min="11946" max="11946" width="2.85546875" style="57" customWidth="1"/>
    <col min="11947" max="11947" width="1.85546875" style="57" customWidth="1"/>
    <col min="11948" max="11948" width="19.7109375" style="57" customWidth="1"/>
    <col min="11949" max="11949" width="1.85546875" style="57" customWidth="1"/>
    <col min="11950" max="11952" width="3" style="57" customWidth="1"/>
    <col min="11953" max="11953" width="4.42578125" style="57" customWidth="1"/>
    <col min="11954" max="11955" width="3" style="57" customWidth="1"/>
    <col min="11956" max="11961" width="3.28515625" style="57" customWidth="1"/>
    <col min="11962" max="11963" width="9.140625" style="57" customWidth="1"/>
    <col min="11964" max="11967" width="3.28515625" style="57" customWidth="1"/>
    <col min="11968" max="11968" width="4.140625" style="57" customWidth="1"/>
    <col min="11969" max="11969" width="1.7109375" style="57" customWidth="1"/>
    <col min="11970" max="11974" width="3.28515625" style="57" customWidth="1"/>
    <col min="11975" max="11975" width="1.7109375" style="57" customWidth="1"/>
    <col min="11976" max="11980" width="3.28515625" style="57" customWidth="1"/>
    <col min="11981" max="11986" width="9.140625" style="57" customWidth="1"/>
    <col min="11987" max="11987" width="1.7109375" style="57" customWidth="1"/>
    <col min="11988" max="11992" width="3.28515625" style="57" customWidth="1"/>
    <col min="11993" max="11993" width="1.7109375" style="57" customWidth="1"/>
    <col min="11994" max="11994" width="16.5703125" style="57" bestFit="1" customWidth="1"/>
    <col min="11995" max="11996" width="10.28515625" style="57" customWidth="1"/>
    <col min="11997" max="11997" width="18" style="57" bestFit="1" customWidth="1"/>
    <col min="11998" max="12182" width="9.140625" style="57"/>
    <col min="12183" max="12190" width="9.140625" style="57" customWidth="1"/>
    <col min="12191" max="12191" width="10.140625" style="57" customWidth="1"/>
    <col min="12192" max="12192" width="1" style="57" customWidth="1"/>
    <col min="12193" max="12195" width="3.28515625" style="57" customWidth="1"/>
    <col min="12196" max="12196" width="1.85546875" style="57" customWidth="1"/>
    <col min="12197" max="12197" width="17.85546875" style="57" customWidth="1"/>
    <col min="12198" max="12198" width="1.85546875" style="57" customWidth="1"/>
    <col min="12199" max="12201" width="3.28515625" style="57" customWidth="1"/>
    <col min="12202" max="12202" width="2.85546875" style="57" customWidth="1"/>
    <col min="12203" max="12203" width="1.85546875" style="57" customWidth="1"/>
    <col min="12204" max="12204" width="19.7109375" style="57" customWidth="1"/>
    <col min="12205" max="12205" width="1.85546875" style="57" customWidth="1"/>
    <col min="12206" max="12208" width="3" style="57" customWidth="1"/>
    <col min="12209" max="12209" width="4.42578125" style="57" customWidth="1"/>
    <col min="12210" max="12211" width="3" style="57" customWidth="1"/>
    <col min="12212" max="12217" width="3.28515625" style="57" customWidth="1"/>
    <col min="12218" max="12219" width="9.140625" style="57" customWidth="1"/>
    <col min="12220" max="12223" width="3.28515625" style="57" customWidth="1"/>
    <col min="12224" max="12224" width="4.140625" style="57" customWidth="1"/>
    <col min="12225" max="12225" width="1.7109375" style="57" customWidth="1"/>
    <col min="12226" max="12230" width="3.28515625" style="57" customWidth="1"/>
    <col min="12231" max="12231" width="1.7109375" style="57" customWidth="1"/>
    <col min="12232" max="12236" width="3.28515625" style="57" customWidth="1"/>
    <col min="12237" max="12242" width="9.140625" style="57" customWidth="1"/>
    <col min="12243" max="12243" width="1.7109375" style="57" customWidth="1"/>
    <col min="12244" max="12248" width="3.28515625" style="57" customWidth="1"/>
    <col min="12249" max="12249" width="1.7109375" style="57" customWidth="1"/>
    <col min="12250" max="12250" width="16.5703125" style="57" bestFit="1" customWidth="1"/>
    <col min="12251" max="12252" width="10.28515625" style="57" customWidth="1"/>
    <col min="12253" max="12253" width="18" style="57" bestFit="1" customWidth="1"/>
    <col min="12254" max="12438" width="9.140625" style="57"/>
    <col min="12439" max="12446" width="9.140625" style="57" customWidth="1"/>
    <col min="12447" max="12447" width="10.140625" style="57" customWidth="1"/>
    <col min="12448" max="12448" width="1" style="57" customWidth="1"/>
    <col min="12449" max="12451" width="3.28515625" style="57" customWidth="1"/>
    <col min="12452" max="12452" width="1.85546875" style="57" customWidth="1"/>
    <col min="12453" max="12453" width="17.85546875" style="57" customWidth="1"/>
    <col min="12454" max="12454" width="1.85546875" style="57" customWidth="1"/>
    <col min="12455" max="12457" width="3.28515625" style="57" customWidth="1"/>
    <col min="12458" max="12458" width="2.85546875" style="57" customWidth="1"/>
    <col min="12459" max="12459" width="1.85546875" style="57" customWidth="1"/>
    <col min="12460" max="12460" width="19.7109375" style="57" customWidth="1"/>
    <col min="12461" max="12461" width="1.85546875" style="57" customWidth="1"/>
    <col min="12462" max="12464" width="3" style="57" customWidth="1"/>
    <col min="12465" max="12465" width="4.42578125" style="57" customWidth="1"/>
    <col min="12466" max="12467" width="3" style="57" customWidth="1"/>
    <col min="12468" max="12473" width="3.28515625" style="57" customWidth="1"/>
    <col min="12474" max="12475" width="9.140625" style="57" customWidth="1"/>
    <col min="12476" max="12479" width="3.28515625" style="57" customWidth="1"/>
    <col min="12480" max="12480" width="4.140625" style="57" customWidth="1"/>
    <col min="12481" max="12481" width="1.7109375" style="57" customWidth="1"/>
    <col min="12482" max="12486" width="3.28515625" style="57" customWidth="1"/>
    <col min="12487" max="12487" width="1.7109375" style="57" customWidth="1"/>
    <col min="12488" max="12492" width="3.28515625" style="57" customWidth="1"/>
    <col min="12493" max="12498" width="9.140625" style="57" customWidth="1"/>
    <col min="12499" max="12499" width="1.7109375" style="57" customWidth="1"/>
    <col min="12500" max="12504" width="3.28515625" style="57" customWidth="1"/>
    <col min="12505" max="12505" width="1.7109375" style="57" customWidth="1"/>
    <col min="12506" max="12506" width="16.5703125" style="57" bestFit="1" customWidth="1"/>
    <col min="12507" max="12508" width="10.28515625" style="57" customWidth="1"/>
    <col min="12509" max="12509" width="18" style="57" bestFit="1" customWidth="1"/>
    <col min="12510" max="12694" width="9.140625" style="57"/>
    <col min="12695" max="12702" width="9.140625" style="57" customWidth="1"/>
    <col min="12703" max="12703" width="10.140625" style="57" customWidth="1"/>
    <col min="12704" max="12704" width="1" style="57" customWidth="1"/>
    <col min="12705" max="12707" width="3.28515625" style="57" customWidth="1"/>
    <col min="12708" max="12708" width="1.85546875" style="57" customWidth="1"/>
    <col min="12709" max="12709" width="17.85546875" style="57" customWidth="1"/>
    <col min="12710" max="12710" width="1.85546875" style="57" customWidth="1"/>
    <col min="12711" max="12713" width="3.28515625" style="57" customWidth="1"/>
    <col min="12714" max="12714" width="2.85546875" style="57" customWidth="1"/>
    <col min="12715" max="12715" width="1.85546875" style="57" customWidth="1"/>
    <col min="12716" max="12716" width="19.7109375" style="57" customWidth="1"/>
    <col min="12717" max="12717" width="1.85546875" style="57" customWidth="1"/>
    <col min="12718" max="12720" width="3" style="57" customWidth="1"/>
    <col min="12721" max="12721" width="4.42578125" style="57" customWidth="1"/>
    <col min="12722" max="12723" width="3" style="57" customWidth="1"/>
    <col min="12724" max="12729" width="3.28515625" style="57" customWidth="1"/>
    <col min="12730" max="12731" width="9.140625" style="57" customWidth="1"/>
    <col min="12732" max="12735" width="3.28515625" style="57" customWidth="1"/>
    <col min="12736" max="12736" width="4.140625" style="57" customWidth="1"/>
    <col min="12737" max="12737" width="1.7109375" style="57" customWidth="1"/>
    <col min="12738" max="12742" width="3.28515625" style="57" customWidth="1"/>
    <col min="12743" max="12743" width="1.7109375" style="57" customWidth="1"/>
    <col min="12744" max="12748" width="3.28515625" style="57" customWidth="1"/>
    <col min="12749" max="12754" width="9.140625" style="57" customWidth="1"/>
    <col min="12755" max="12755" width="1.7109375" style="57" customWidth="1"/>
    <col min="12756" max="12760" width="3.28515625" style="57" customWidth="1"/>
    <col min="12761" max="12761" width="1.7109375" style="57" customWidth="1"/>
    <col min="12762" max="12762" width="16.5703125" style="57" bestFit="1" customWidth="1"/>
    <col min="12763" max="12764" width="10.28515625" style="57" customWidth="1"/>
    <col min="12765" max="12765" width="18" style="57" bestFit="1" customWidth="1"/>
    <col min="12766" max="12950" width="9.140625" style="57"/>
    <col min="12951" max="12958" width="9.140625" style="57" customWidth="1"/>
    <col min="12959" max="12959" width="10.140625" style="57" customWidth="1"/>
    <col min="12960" max="12960" width="1" style="57" customWidth="1"/>
    <col min="12961" max="12963" width="3.28515625" style="57" customWidth="1"/>
    <col min="12964" max="12964" width="1.85546875" style="57" customWidth="1"/>
    <col min="12965" max="12965" width="17.85546875" style="57" customWidth="1"/>
    <col min="12966" max="12966" width="1.85546875" style="57" customWidth="1"/>
    <col min="12967" max="12969" width="3.28515625" style="57" customWidth="1"/>
    <col min="12970" max="12970" width="2.85546875" style="57" customWidth="1"/>
    <col min="12971" max="12971" width="1.85546875" style="57" customWidth="1"/>
    <col min="12972" max="12972" width="19.7109375" style="57" customWidth="1"/>
    <col min="12973" max="12973" width="1.85546875" style="57" customWidth="1"/>
    <col min="12974" max="12976" width="3" style="57" customWidth="1"/>
    <col min="12977" max="12977" width="4.42578125" style="57" customWidth="1"/>
    <col min="12978" max="12979" width="3" style="57" customWidth="1"/>
    <col min="12980" max="12985" width="3.28515625" style="57" customWidth="1"/>
    <col min="12986" max="12987" width="9.140625" style="57" customWidth="1"/>
    <col min="12988" max="12991" width="3.28515625" style="57" customWidth="1"/>
    <col min="12992" max="12992" width="4.140625" style="57" customWidth="1"/>
    <col min="12993" max="12993" width="1.7109375" style="57" customWidth="1"/>
    <col min="12994" max="12998" width="3.28515625" style="57" customWidth="1"/>
    <col min="12999" max="12999" width="1.7109375" style="57" customWidth="1"/>
    <col min="13000" max="13004" width="3.28515625" style="57" customWidth="1"/>
    <col min="13005" max="13010" width="9.140625" style="57" customWidth="1"/>
    <col min="13011" max="13011" width="1.7109375" style="57" customWidth="1"/>
    <col min="13012" max="13016" width="3.28515625" style="57" customWidth="1"/>
    <col min="13017" max="13017" width="1.7109375" style="57" customWidth="1"/>
    <col min="13018" max="13018" width="16.5703125" style="57" bestFit="1" customWidth="1"/>
    <col min="13019" max="13020" width="10.28515625" style="57" customWidth="1"/>
    <col min="13021" max="13021" width="18" style="57" bestFit="1" customWidth="1"/>
    <col min="13022" max="13206" width="9.140625" style="57"/>
    <col min="13207" max="13214" width="9.140625" style="57" customWidth="1"/>
    <col min="13215" max="13215" width="10.140625" style="57" customWidth="1"/>
    <col min="13216" max="13216" width="1" style="57" customWidth="1"/>
    <col min="13217" max="13219" width="3.28515625" style="57" customWidth="1"/>
    <col min="13220" max="13220" width="1.85546875" style="57" customWidth="1"/>
    <col min="13221" max="13221" width="17.85546875" style="57" customWidth="1"/>
    <col min="13222" max="13222" width="1.85546875" style="57" customWidth="1"/>
    <col min="13223" max="13225" width="3.28515625" style="57" customWidth="1"/>
    <col min="13226" max="13226" width="2.85546875" style="57" customWidth="1"/>
    <col min="13227" max="13227" width="1.85546875" style="57" customWidth="1"/>
    <col min="13228" max="13228" width="19.7109375" style="57" customWidth="1"/>
    <col min="13229" max="13229" width="1.85546875" style="57" customWidth="1"/>
    <col min="13230" max="13232" width="3" style="57" customWidth="1"/>
    <col min="13233" max="13233" width="4.42578125" style="57" customWidth="1"/>
    <col min="13234" max="13235" width="3" style="57" customWidth="1"/>
    <col min="13236" max="13241" width="3.28515625" style="57" customWidth="1"/>
    <col min="13242" max="13243" width="9.140625" style="57" customWidth="1"/>
    <col min="13244" max="13247" width="3.28515625" style="57" customWidth="1"/>
    <col min="13248" max="13248" width="4.140625" style="57" customWidth="1"/>
    <col min="13249" max="13249" width="1.7109375" style="57" customWidth="1"/>
    <col min="13250" max="13254" width="3.28515625" style="57" customWidth="1"/>
    <col min="13255" max="13255" width="1.7109375" style="57" customWidth="1"/>
    <col min="13256" max="13260" width="3.28515625" style="57" customWidth="1"/>
    <col min="13261" max="13266" width="9.140625" style="57" customWidth="1"/>
    <col min="13267" max="13267" width="1.7109375" style="57" customWidth="1"/>
    <col min="13268" max="13272" width="3.28515625" style="57" customWidth="1"/>
    <col min="13273" max="13273" width="1.7109375" style="57" customWidth="1"/>
    <col min="13274" max="13274" width="16.5703125" style="57" bestFit="1" customWidth="1"/>
    <col min="13275" max="13276" width="10.28515625" style="57" customWidth="1"/>
    <col min="13277" max="13277" width="18" style="57" bestFit="1" customWidth="1"/>
    <col min="13278" max="13462" width="9.140625" style="57"/>
    <col min="13463" max="13470" width="9.140625" style="57" customWidth="1"/>
    <col min="13471" max="13471" width="10.140625" style="57" customWidth="1"/>
    <col min="13472" max="13472" width="1" style="57" customWidth="1"/>
    <col min="13473" max="13475" width="3.28515625" style="57" customWidth="1"/>
    <col min="13476" max="13476" width="1.85546875" style="57" customWidth="1"/>
    <col min="13477" max="13477" width="17.85546875" style="57" customWidth="1"/>
    <col min="13478" max="13478" width="1.85546875" style="57" customWidth="1"/>
    <col min="13479" max="13481" width="3.28515625" style="57" customWidth="1"/>
    <col min="13482" max="13482" width="2.85546875" style="57" customWidth="1"/>
    <col min="13483" max="13483" width="1.85546875" style="57" customWidth="1"/>
    <col min="13484" max="13484" width="19.7109375" style="57" customWidth="1"/>
    <col min="13485" max="13485" width="1.85546875" style="57" customWidth="1"/>
    <col min="13486" max="13488" width="3" style="57" customWidth="1"/>
    <col min="13489" max="13489" width="4.42578125" style="57" customWidth="1"/>
    <col min="13490" max="13491" width="3" style="57" customWidth="1"/>
    <col min="13492" max="13497" width="3.28515625" style="57" customWidth="1"/>
    <col min="13498" max="13499" width="9.140625" style="57" customWidth="1"/>
    <col min="13500" max="13503" width="3.28515625" style="57" customWidth="1"/>
    <col min="13504" max="13504" width="4.140625" style="57" customWidth="1"/>
    <col min="13505" max="13505" width="1.7109375" style="57" customWidth="1"/>
    <col min="13506" max="13510" width="3.28515625" style="57" customWidth="1"/>
    <col min="13511" max="13511" width="1.7109375" style="57" customWidth="1"/>
    <col min="13512" max="13516" width="3.28515625" style="57" customWidth="1"/>
    <col min="13517" max="13522" width="9.140625" style="57" customWidth="1"/>
    <col min="13523" max="13523" width="1.7109375" style="57" customWidth="1"/>
    <col min="13524" max="13528" width="3.28515625" style="57" customWidth="1"/>
    <col min="13529" max="13529" width="1.7109375" style="57" customWidth="1"/>
    <col min="13530" max="13530" width="16.5703125" style="57" bestFit="1" customWidth="1"/>
    <col min="13531" max="13532" width="10.28515625" style="57" customWidth="1"/>
    <col min="13533" max="13533" width="18" style="57" bestFit="1" customWidth="1"/>
    <col min="13534" max="13718" width="9.140625" style="57"/>
    <col min="13719" max="13726" width="9.140625" style="57" customWidth="1"/>
    <col min="13727" max="13727" width="10.140625" style="57" customWidth="1"/>
    <col min="13728" max="13728" width="1" style="57" customWidth="1"/>
    <col min="13729" max="13731" width="3.28515625" style="57" customWidth="1"/>
    <col min="13732" max="13732" width="1.85546875" style="57" customWidth="1"/>
    <col min="13733" max="13733" width="17.85546875" style="57" customWidth="1"/>
    <col min="13734" max="13734" width="1.85546875" style="57" customWidth="1"/>
    <col min="13735" max="13737" width="3.28515625" style="57" customWidth="1"/>
    <col min="13738" max="13738" width="2.85546875" style="57" customWidth="1"/>
    <col min="13739" max="13739" width="1.85546875" style="57" customWidth="1"/>
    <col min="13740" max="13740" width="19.7109375" style="57" customWidth="1"/>
    <col min="13741" max="13741" width="1.85546875" style="57" customWidth="1"/>
    <col min="13742" max="13744" width="3" style="57" customWidth="1"/>
    <col min="13745" max="13745" width="4.42578125" style="57" customWidth="1"/>
    <col min="13746" max="13747" width="3" style="57" customWidth="1"/>
    <col min="13748" max="13753" width="3.28515625" style="57" customWidth="1"/>
    <col min="13754" max="13755" width="9.140625" style="57" customWidth="1"/>
    <col min="13756" max="13759" width="3.28515625" style="57" customWidth="1"/>
    <col min="13760" max="13760" width="4.140625" style="57" customWidth="1"/>
    <col min="13761" max="13761" width="1.7109375" style="57" customWidth="1"/>
    <col min="13762" max="13766" width="3.28515625" style="57" customWidth="1"/>
    <col min="13767" max="13767" width="1.7109375" style="57" customWidth="1"/>
    <col min="13768" max="13772" width="3.28515625" style="57" customWidth="1"/>
    <col min="13773" max="13778" width="9.140625" style="57" customWidth="1"/>
    <col min="13779" max="13779" width="1.7109375" style="57" customWidth="1"/>
    <col min="13780" max="13784" width="3.28515625" style="57" customWidth="1"/>
    <col min="13785" max="13785" width="1.7109375" style="57" customWidth="1"/>
    <col min="13786" max="13786" width="16.5703125" style="57" bestFit="1" customWidth="1"/>
    <col min="13787" max="13788" width="10.28515625" style="57" customWidth="1"/>
    <col min="13789" max="13789" width="18" style="57" bestFit="1" customWidth="1"/>
    <col min="13790" max="13974" width="9.140625" style="57"/>
    <col min="13975" max="13982" width="9.140625" style="57" customWidth="1"/>
    <col min="13983" max="13983" width="10.140625" style="57" customWidth="1"/>
    <col min="13984" max="13984" width="1" style="57" customWidth="1"/>
    <col min="13985" max="13987" width="3.28515625" style="57" customWidth="1"/>
    <col min="13988" max="13988" width="1.85546875" style="57" customWidth="1"/>
    <col min="13989" max="13989" width="17.85546875" style="57" customWidth="1"/>
    <col min="13990" max="13990" width="1.85546875" style="57" customWidth="1"/>
    <col min="13991" max="13993" width="3.28515625" style="57" customWidth="1"/>
    <col min="13994" max="13994" width="2.85546875" style="57" customWidth="1"/>
    <col min="13995" max="13995" width="1.85546875" style="57" customWidth="1"/>
    <col min="13996" max="13996" width="19.7109375" style="57" customWidth="1"/>
    <col min="13997" max="13997" width="1.85546875" style="57" customWidth="1"/>
    <col min="13998" max="14000" width="3" style="57" customWidth="1"/>
    <col min="14001" max="14001" width="4.42578125" style="57" customWidth="1"/>
    <col min="14002" max="14003" width="3" style="57" customWidth="1"/>
    <col min="14004" max="14009" width="3.28515625" style="57" customWidth="1"/>
    <col min="14010" max="14011" width="9.140625" style="57" customWidth="1"/>
    <col min="14012" max="14015" width="3.28515625" style="57" customWidth="1"/>
    <col min="14016" max="14016" width="4.140625" style="57" customWidth="1"/>
    <col min="14017" max="14017" width="1.7109375" style="57" customWidth="1"/>
    <col min="14018" max="14022" width="3.28515625" style="57" customWidth="1"/>
    <col min="14023" max="14023" width="1.7109375" style="57" customWidth="1"/>
    <col min="14024" max="14028" width="3.28515625" style="57" customWidth="1"/>
    <col min="14029" max="14034" width="9.140625" style="57" customWidth="1"/>
    <col min="14035" max="14035" width="1.7109375" style="57" customWidth="1"/>
    <col min="14036" max="14040" width="3.28515625" style="57" customWidth="1"/>
    <col min="14041" max="14041" width="1.7109375" style="57" customWidth="1"/>
    <col min="14042" max="14042" width="16.5703125" style="57" bestFit="1" customWidth="1"/>
    <col min="14043" max="14044" width="10.28515625" style="57" customWidth="1"/>
    <col min="14045" max="14045" width="18" style="57" bestFit="1" customWidth="1"/>
    <col min="14046" max="14230" width="9.140625" style="57"/>
    <col min="14231" max="14238" width="9.140625" style="57" customWidth="1"/>
    <col min="14239" max="14239" width="10.140625" style="57" customWidth="1"/>
    <col min="14240" max="14240" width="1" style="57" customWidth="1"/>
    <col min="14241" max="14243" width="3.28515625" style="57" customWidth="1"/>
    <col min="14244" max="14244" width="1.85546875" style="57" customWidth="1"/>
    <col min="14245" max="14245" width="17.85546875" style="57" customWidth="1"/>
    <col min="14246" max="14246" width="1.85546875" style="57" customWidth="1"/>
    <col min="14247" max="14249" width="3.28515625" style="57" customWidth="1"/>
    <col min="14250" max="14250" width="2.85546875" style="57" customWidth="1"/>
    <col min="14251" max="14251" width="1.85546875" style="57" customWidth="1"/>
    <col min="14252" max="14252" width="19.7109375" style="57" customWidth="1"/>
    <col min="14253" max="14253" width="1.85546875" style="57" customWidth="1"/>
    <col min="14254" max="14256" width="3" style="57" customWidth="1"/>
    <col min="14257" max="14257" width="4.42578125" style="57" customWidth="1"/>
    <col min="14258" max="14259" width="3" style="57" customWidth="1"/>
    <col min="14260" max="14265" width="3.28515625" style="57" customWidth="1"/>
    <col min="14266" max="14267" width="9.140625" style="57" customWidth="1"/>
    <col min="14268" max="14271" width="3.28515625" style="57" customWidth="1"/>
    <col min="14272" max="14272" width="4.140625" style="57" customWidth="1"/>
    <col min="14273" max="14273" width="1.7109375" style="57" customWidth="1"/>
    <col min="14274" max="14278" width="3.28515625" style="57" customWidth="1"/>
    <col min="14279" max="14279" width="1.7109375" style="57" customWidth="1"/>
    <col min="14280" max="14284" width="3.28515625" style="57" customWidth="1"/>
    <col min="14285" max="14290" width="9.140625" style="57" customWidth="1"/>
    <col min="14291" max="14291" width="1.7109375" style="57" customWidth="1"/>
    <col min="14292" max="14296" width="3.28515625" style="57" customWidth="1"/>
    <col min="14297" max="14297" width="1.7109375" style="57" customWidth="1"/>
    <col min="14298" max="14298" width="16.5703125" style="57" bestFit="1" customWidth="1"/>
    <col min="14299" max="14300" width="10.28515625" style="57" customWidth="1"/>
    <col min="14301" max="14301" width="18" style="57" bestFit="1" customWidth="1"/>
    <col min="14302" max="14486" width="9.140625" style="57"/>
    <col min="14487" max="14494" width="9.140625" style="57" customWidth="1"/>
    <col min="14495" max="14495" width="10.140625" style="57" customWidth="1"/>
    <col min="14496" max="14496" width="1" style="57" customWidth="1"/>
    <col min="14497" max="14499" width="3.28515625" style="57" customWidth="1"/>
    <col min="14500" max="14500" width="1.85546875" style="57" customWidth="1"/>
    <col min="14501" max="14501" width="17.85546875" style="57" customWidth="1"/>
    <col min="14502" max="14502" width="1.85546875" style="57" customWidth="1"/>
    <col min="14503" max="14505" width="3.28515625" style="57" customWidth="1"/>
    <col min="14506" max="14506" width="2.85546875" style="57" customWidth="1"/>
    <col min="14507" max="14507" width="1.85546875" style="57" customWidth="1"/>
    <col min="14508" max="14508" width="19.7109375" style="57" customWidth="1"/>
    <col min="14509" max="14509" width="1.85546875" style="57" customWidth="1"/>
    <col min="14510" max="14512" width="3" style="57" customWidth="1"/>
    <col min="14513" max="14513" width="4.42578125" style="57" customWidth="1"/>
    <col min="14514" max="14515" width="3" style="57" customWidth="1"/>
    <col min="14516" max="14521" width="3.28515625" style="57" customWidth="1"/>
    <col min="14522" max="14523" width="9.140625" style="57" customWidth="1"/>
    <col min="14524" max="14527" width="3.28515625" style="57" customWidth="1"/>
    <col min="14528" max="14528" width="4.140625" style="57" customWidth="1"/>
    <col min="14529" max="14529" width="1.7109375" style="57" customWidth="1"/>
    <col min="14530" max="14534" width="3.28515625" style="57" customWidth="1"/>
    <col min="14535" max="14535" width="1.7109375" style="57" customWidth="1"/>
    <col min="14536" max="14540" width="3.28515625" style="57" customWidth="1"/>
    <col min="14541" max="14546" width="9.140625" style="57" customWidth="1"/>
    <col min="14547" max="14547" width="1.7109375" style="57" customWidth="1"/>
    <col min="14548" max="14552" width="3.28515625" style="57" customWidth="1"/>
    <col min="14553" max="14553" width="1.7109375" style="57" customWidth="1"/>
    <col min="14554" max="14554" width="16.5703125" style="57" bestFit="1" customWidth="1"/>
    <col min="14555" max="14556" width="10.28515625" style="57" customWidth="1"/>
    <col min="14557" max="14557" width="18" style="57" bestFit="1" customWidth="1"/>
    <col min="14558" max="14742" width="9.140625" style="57"/>
    <col min="14743" max="14750" width="9.140625" style="57" customWidth="1"/>
    <col min="14751" max="14751" width="10.140625" style="57" customWidth="1"/>
    <col min="14752" max="14752" width="1" style="57" customWidth="1"/>
    <col min="14753" max="14755" width="3.28515625" style="57" customWidth="1"/>
    <col min="14756" max="14756" width="1.85546875" style="57" customWidth="1"/>
    <col min="14757" max="14757" width="17.85546875" style="57" customWidth="1"/>
    <col min="14758" max="14758" width="1.85546875" style="57" customWidth="1"/>
    <col min="14759" max="14761" width="3.28515625" style="57" customWidth="1"/>
    <col min="14762" max="14762" width="2.85546875" style="57" customWidth="1"/>
    <col min="14763" max="14763" width="1.85546875" style="57" customWidth="1"/>
    <col min="14764" max="14764" width="19.7109375" style="57" customWidth="1"/>
    <col min="14765" max="14765" width="1.85546875" style="57" customWidth="1"/>
    <col min="14766" max="14768" width="3" style="57" customWidth="1"/>
    <col min="14769" max="14769" width="4.42578125" style="57" customWidth="1"/>
    <col min="14770" max="14771" width="3" style="57" customWidth="1"/>
    <col min="14772" max="14777" width="3.28515625" style="57" customWidth="1"/>
    <col min="14778" max="14779" width="9.140625" style="57" customWidth="1"/>
    <col min="14780" max="14783" width="3.28515625" style="57" customWidth="1"/>
    <col min="14784" max="14784" width="4.140625" style="57" customWidth="1"/>
    <col min="14785" max="14785" width="1.7109375" style="57" customWidth="1"/>
    <col min="14786" max="14790" width="3.28515625" style="57" customWidth="1"/>
    <col min="14791" max="14791" width="1.7109375" style="57" customWidth="1"/>
    <col min="14792" max="14796" width="3.28515625" style="57" customWidth="1"/>
    <col min="14797" max="14802" width="9.140625" style="57" customWidth="1"/>
    <col min="14803" max="14803" width="1.7109375" style="57" customWidth="1"/>
    <col min="14804" max="14808" width="3.28515625" style="57" customWidth="1"/>
    <col min="14809" max="14809" width="1.7109375" style="57" customWidth="1"/>
    <col min="14810" max="14810" width="16.5703125" style="57" bestFit="1" customWidth="1"/>
    <col min="14811" max="14812" width="10.28515625" style="57" customWidth="1"/>
    <col min="14813" max="14813" width="18" style="57" bestFit="1" customWidth="1"/>
    <col min="14814" max="14998" width="9.140625" style="57"/>
    <col min="14999" max="15006" width="9.140625" style="57" customWidth="1"/>
    <col min="15007" max="15007" width="10.140625" style="57" customWidth="1"/>
    <col min="15008" max="15008" width="1" style="57" customWidth="1"/>
    <col min="15009" max="15011" width="3.28515625" style="57" customWidth="1"/>
    <col min="15012" max="15012" width="1.85546875" style="57" customWidth="1"/>
    <col min="15013" max="15013" width="17.85546875" style="57" customWidth="1"/>
    <col min="15014" max="15014" width="1.85546875" style="57" customWidth="1"/>
    <col min="15015" max="15017" width="3.28515625" style="57" customWidth="1"/>
    <col min="15018" max="15018" width="2.85546875" style="57" customWidth="1"/>
    <col min="15019" max="15019" width="1.85546875" style="57" customWidth="1"/>
    <col min="15020" max="15020" width="19.7109375" style="57" customWidth="1"/>
    <col min="15021" max="15021" width="1.85546875" style="57" customWidth="1"/>
    <col min="15022" max="15024" width="3" style="57" customWidth="1"/>
    <col min="15025" max="15025" width="4.42578125" style="57" customWidth="1"/>
    <col min="15026" max="15027" width="3" style="57" customWidth="1"/>
    <col min="15028" max="15033" width="3.28515625" style="57" customWidth="1"/>
    <col min="15034" max="15035" width="9.140625" style="57" customWidth="1"/>
    <col min="15036" max="15039" width="3.28515625" style="57" customWidth="1"/>
    <col min="15040" max="15040" width="4.140625" style="57" customWidth="1"/>
    <col min="15041" max="15041" width="1.7109375" style="57" customWidth="1"/>
    <col min="15042" max="15046" width="3.28515625" style="57" customWidth="1"/>
    <col min="15047" max="15047" width="1.7109375" style="57" customWidth="1"/>
    <col min="15048" max="15052" width="3.28515625" style="57" customWidth="1"/>
    <col min="15053" max="15058" width="9.140625" style="57" customWidth="1"/>
    <col min="15059" max="15059" width="1.7109375" style="57" customWidth="1"/>
    <col min="15060" max="15064" width="3.28515625" style="57" customWidth="1"/>
    <col min="15065" max="15065" width="1.7109375" style="57" customWidth="1"/>
    <col min="15066" max="15066" width="16.5703125" style="57" bestFit="1" customWidth="1"/>
    <col min="15067" max="15068" width="10.28515625" style="57" customWidth="1"/>
    <col min="15069" max="15069" width="18" style="57" bestFit="1" customWidth="1"/>
    <col min="15070" max="15254" width="9.140625" style="57"/>
    <col min="15255" max="15262" width="9.140625" style="57" customWidth="1"/>
    <col min="15263" max="15263" width="10.140625" style="57" customWidth="1"/>
    <col min="15264" max="15264" width="1" style="57" customWidth="1"/>
    <col min="15265" max="15267" width="3.28515625" style="57" customWidth="1"/>
    <col min="15268" max="15268" width="1.85546875" style="57" customWidth="1"/>
    <col min="15269" max="15269" width="17.85546875" style="57" customWidth="1"/>
    <col min="15270" max="15270" width="1.85546875" style="57" customWidth="1"/>
    <col min="15271" max="15273" width="3.28515625" style="57" customWidth="1"/>
    <col min="15274" max="15274" width="2.85546875" style="57" customWidth="1"/>
    <col min="15275" max="15275" width="1.85546875" style="57" customWidth="1"/>
    <col min="15276" max="15276" width="19.7109375" style="57" customWidth="1"/>
    <col min="15277" max="15277" width="1.85546875" style="57" customWidth="1"/>
    <col min="15278" max="15280" width="3" style="57" customWidth="1"/>
    <col min="15281" max="15281" width="4.42578125" style="57" customWidth="1"/>
    <col min="15282" max="15283" width="3" style="57" customWidth="1"/>
    <col min="15284" max="15289" width="3.28515625" style="57" customWidth="1"/>
    <col min="15290" max="15291" width="9.140625" style="57" customWidth="1"/>
    <col min="15292" max="15295" width="3.28515625" style="57" customWidth="1"/>
    <col min="15296" max="15296" width="4.140625" style="57" customWidth="1"/>
    <col min="15297" max="15297" width="1.7109375" style="57" customWidth="1"/>
    <col min="15298" max="15302" width="3.28515625" style="57" customWidth="1"/>
    <col min="15303" max="15303" width="1.7109375" style="57" customWidth="1"/>
    <col min="15304" max="15308" width="3.28515625" style="57" customWidth="1"/>
    <col min="15309" max="15314" width="9.140625" style="57" customWidth="1"/>
    <col min="15315" max="15315" width="1.7109375" style="57" customWidth="1"/>
    <col min="15316" max="15320" width="3.28515625" style="57" customWidth="1"/>
    <col min="15321" max="15321" width="1.7109375" style="57" customWidth="1"/>
    <col min="15322" max="15322" width="16.5703125" style="57" bestFit="1" customWidth="1"/>
    <col min="15323" max="15324" width="10.28515625" style="57" customWidth="1"/>
    <col min="15325" max="15325" width="18" style="57" bestFit="1" customWidth="1"/>
    <col min="15326" max="15510" width="9.140625" style="57"/>
    <col min="15511" max="15518" width="9.140625" style="57" customWidth="1"/>
    <col min="15519" max="15519" width="10.140625" style="57" customWidth="1"/>
    <col min="15520" max="15520" width="1" style="57" customWidth="1"/>
    <col min="15521" max="15523" width="3.28515625" style="57" customWidth="1"/>
    <col min="15524" max="15524" width="1.85546875" style="57" customWidth="1"/>
    <col min="15525" max="15525" width="17.85546875" style="57" customWidth="1"/>
    <col min="15526" max="15526" width="1.85546875" style="57" customWidth="1"/>
    <col min="15527" max="15529" width="3.28515625" style="57" customWidth="1"/>
    <col min="15530" max="15530" width="2.85546875" style="57" customWidth="1"/>
    <col min="15531" max="15531" width="1.85546875" style="57" customWidth="1"/>
    <col min="15532" max="15532" width="19.7109375" style="57" customWidth="1"/>
    <col min="15533" max="15533" width="1.85546875" style="57" customWidth="1"/>
    <col min="15534" max="15536" width="3" style="57" customWidth="1"/>
    <col min="15537" max="15537" width="4.42578125" style="57" customWidth="1"/>
    <col min="15538" max="15539" width="3" style="57" customWidth="1"/>
    <col min="15540" max="15545" width="3.28515625" style="57" customWidth="1"/>
    <col min="15546" max="15547" width="9.140625" style="57" customWidth="1"/>
    <col min="15548" max="15551" width="3.28515625" style="57" customWidth="1"/>
    <col min="15552" max="15552" width="4.140625" style="57" customWidth="1"/>
    <col min="15553" max="15553" width="1.7109375" style="57" customWidth="1"/>
    <col min="15554" max="15558" width="3.28515625" style="57" customWidth="1"/>
    <col min="15559" max="15559" width="1.7109375" style="57" customWidth="1"/>
    <col min="15560" max="15564" width="3.28515625" style="57" customWidth="1"/>
    <col min="15565" max="15570" width="9.140625" style="57" customWidth="1"/>
    <col min="15571" max="15571" width="1.7109375" style="57" customWidth="1"/>
    <col min="15572" max="15576" width="3.28515625" style="57" customWidth="1"/>
    <col min="15577" max="15577" width="1.7109375" style="57" customWidth="1"/>
    <col min="15578" max="15578" width="16.5703125" style="57" bestFit="1" customWidth="1"/>
    <col min="15579" max="15580" width="10.28515625" style="57" customWidth="1"/>
    <col min="15581" max="15581" width="18" style="57" bestFit="1" customWidth="1"/>
    <col min="15582" max="15766" width="9.140625" style="57"/>
    <col min="15767" max="15774" width="9.140625" style="57" customWidth="1"/>
    <col min="15775" max="15775" width="10.140625" style="57" customWidth="1"/>
    <col min="15776" max="15776" width="1" style="57" customWidth="1"/>
    <col min="15777" max="15779" width="3.28515625" style="57" customWidth="1"/>
    <col min="15780" max="15780" width="1.85546875" style="57" customWidth="1"/>
    <col min="15781" max="15781" width="17.85546875" style="57" customWidth="1"/>
    <col min="15782" max="15782" width="1.85546875" style="57" customWidth="1"/>
    <col min="15783" max="15785" width="3.28515625" style="57" customWidth="1"/>
    <col min="15786" max="15786" width="2.85546875" style="57" customWidth="1"/>
    <col min="15787" max="15787" width="1.85546875" style="57" customWidth="1"/>
    <col min="15788" max="15788" width="19.7109375" style="57" customWidth="1"/>
    <col min="15789" max="15789" width="1.85546875" style="57" customWidth="1"/>
    <col min="15790" max="15792" width="3" style="57" customWidth="1"/>
    <col min="15793" max="15793" width="4.42578125" style="57" customWidth="1"/>
    <col min="15794" max="15795" width="3" style="57" customWidth="1"/>
    <col min="15796" max="15801" width="3.28515625" style="57" customWidth="1"/>
    <col min="15802" max="15803" width="9.140625" style="57" customWidth="1"/>
    <col min="15804" max="15807" width="3.28515625" style="57" customWidth="1"/>
    <col min="15808" max="15808" width="4.140625" style="57" customWidth="1"/>
    <col min="15809" max="15809" width="1.7109375" style="57" customWidth="1"/>
    <col min="15810" max="15814" width="3.28515625" style="57" customWidth="1"/>
    <col min="15815" max="15815" width="1.7109375" style="57" customWidth="1"/>
    <col min="15816" max="15820" width="3.28515625" style="57" customWidth="1"/>
    <col min="15821" max="15826" width="9.140625" style="57" customWidth="1"/>
    <col min="15827" max="15827" width="1.7109375" style="57" customWidth="1"/>
    <col min="15828" max="15832" width="3.28515625" style="57" customWidth="1"/>
    <col min="15833" max="15833" width="1.7109375" style="57" customWidth="1"/>
    <col min="15834" max="15834" width="16.5703125" style="57" bestFit="1" customWidth="1"/>
    <col min="15835" max="15836" width="10.28515625" style="57" customWidth="1"/>
    <col min="15837" max="15837" width="18" style="57" bestFit="1" customWidth="1"/>
    <col min="15838" max="16022" width="9.140625" style="57"/>
    <col min="16023" max="16030" width="9.140625" style="57" customWidth="1"/>
    <col min="16031" max="16031" width="10.140625" style="57" customWidth="1"/>
    <col min="16032" max="16032" width="1" style="57" customWidth="1"/>
    <col min="16033" max="16035" width="3.28515625" style="57" customWidth="1"/>
    <col min="16036" max="16036" width="1.85546875" style="57" customWidth="1"/>
    <col min="16037" max="16037" width="17.85546875" style="57" customWidth="1"/>
    <col min="16038" max="16038" width="1.85546875" style="57" customWidth="1"/>
    <col min="16039" max="16041" width="3.28515625" style="57" customWidth="1"/>
    <col min="16042" max="16042" width="2.85546875" style="57" customWidth="1"/>
    <col min="16043" max="16043" width="1.85546875" style="57" customWidth="1"/>
    <col min="16044" max="16044" width="19.7109375" style="57" customWidth="1"/>
    <col min="16045" max="16045" width="1.85546875" style="57" customWidth="1"/>
    <col min="16046" max="16048" width="3" style="57" customWidth="1"/>
    <col min="16049" max="16049" width="4.42578125" style="57" customWidth="1"/>
    <col min="16050" max="16051" width="3" style="57" customWidth="1"/>
    <col min="16052" max="16057" width="3.28515625" style="57" customWidth="1"/>
    <col min="16058" max="16059" width="9.140625" style="57" customWidth="1"/>
    <col min="16060" max="16063" width="3.28515625" style="57" customWidth="1"/>
    <col min="16064" max="16064" width="4.140625" style="57" customWidth="1"/>
    <col min="16065" max="16065" width="1.7109375" style="57" customWidth="1"/>
    <col min="16066" max="16070" width="3.28515625" style="57" customWidth="1"/>
    <col min="16071" max="16071" width="1.7109375" style="57" customWidth="1"/>
    <col min="16072" max="16076" width="3.28515625" style="57" customWidth="1"/>
    <col min="16077" max="16082" width="9.140625" style="57" customWidth="1"/>
    <col min="16083" max="16083" width="1.7109375" style="57" customWidth="1"/>
    <col min="16084" max="16088" width="3.28515625" style="57" customWidth="1"/>
    <col min="16089" max="16089" width="1.7109375" style="57" customWidth="1"/>
    <col min="16090" max="16090" width="16.5703125" style="57" bestFit="1" customWidth="1"/>
    <col min="16091" max="16092" width="10.28515625" style="57" customWidth="1"/>
    <col min="16093" max="16093" width="18" style="57" bestFit="1" customWidth="1"/>
    <col min="16094" max="16384" width="9.140625" style="57"/>
  </cols>
  <sheetData>
    <row r="1" spans="1:9" ht="7.5" customHeight="1">
      <c r="C1" s="58"/>
      <c r="D1" s="353"/>
      <c r="E1" s="58"/>
      <c r="F1" s="352"/>
      <c r="G1" s="352"/>
      <c r="H1" s="58"/>
      <c r="I1" s="58"/>
    </row>
    <row r="2" spans="1:9" ht="7.5" customHeight="1">
      <c r="C2" s="58"/>
      <c r="D2" s="353"/>
      <c r="E2" s="58"/>
      <c r="F2" s="352"/>
      <c r="G2" s="352"/>
      <c r="H2" s="58"/>
      <c r="I2" s="58"/>
    </row>
    <row r="3" spans="1:9" ht="7.5" customHeight="1">
      <c r="C3" s="58"/>
      <c r="D3" s="353"/>
      <c r="E3" s="58"/>
      <c r="F3" s="352"/>
      <c r="G3" s="352"/>
      <c r="H3" s="58"/>
      <c r="I3" s="58"/>
    </row>
    <row r="4" spans="1:9" ht="21.75" customHeight="1" thickBot="1">
      <c r="A4" s="355"/>
      <c r="B4" s="355"/>
      <c r="C4" s="355"/>
      <c r="D4" s="353" t="s">
        <v>3673</v>
      </c>
      <c r="E4" s="355"/>
      <c r="F4" s="356"/>
      <c r="G4" s="356"/>
      <c r="H4" s="355"/>
      <c r="I4" s="355"/>
    </row>
    <row r="5" spans="1:9" ht="51.75" customHeight="1" thickBot="1">
      <c r="A5" s="357" t="s">
        <v>1218</v>
      </c>
      <c r="B5" s="358" t="s">
        <v>1219</v>
      </c>
      <c r="C5" s="359" t="s">
        <v>1220</v>
      </c>
      <c r="D5" s="360" t="s">
        <v>2582</v>
      </c>
      <c r="E5" s="361" t="s">
        <v>3674</v>
      </c>
      <c r="F5" s="362"/>
      <c r="G5" s="363"/>
      <c r="H5" s="364"/>
      <c r="I5" s="364"/>
    </row>
    <row r="6" spans="1:9" s="371" customFormat="1" ht="24.95" customHeight="1">
      <c r="A6" s="365"/>
      <c r="B6" s="366" t="s">
        <v>2595</v>
      </c>
      <c r="C6" s="367" t="s">
        <v>2596</v>
      </c>
      <c r="D6" s="368">
        <f>+D7+D34+D71</f>
        <v>421699.63999999996</v>
      </c>
      <c r="E6" s="368">
        <f>+E7+E34+E71</f>
        <v>501988.05</v>
      </c>
      <c r="F6" s="369"/>
      <c r="G6" s="370"/>
    </row>
    <row r="7" spans="1:9" s="371" customFormat="1" ht="24.95" customHeight="1">
      <c r="A7" s="372"/>
      <c r="B7" s="373" t="s">
        <v>2597</v>
      </c>
      <c r="C7" s="374" t="s">
        <v>2598</v>
      </c>
      <c r="D7" s="375">
        <f>+D8+D11+D14+D19+D20-D29</f>
        <v>6068.1800000000076</v>
      </c>
      <c r="E7" s="375">
        <f>+E8+E11+E14+E19+E20-E29</f>
        <v>9273.0900000000111</v>
      </c>
      <c r="F7" s="376"/>
      <c r="G7" s="370"/>
    </row>
    <row r="8" spans="1:9" s="381" customFormat="1" ht="24.95" customHeight="1">
      <c r="A8" s="377"/>
      <c r="B8" s="378" t="s">
        <v>2599</v>
      </c>
      <c r="C8" s="379" t="s">
        <v>2600</v>
      </c>
      <c r="D8" s="380">
        <f>+D9-D10</f>
        <v>0</v>
      </c>
      <c r="E8" s="380">
        <f>+E9-E10</f>
        <v>0</v>
      </c>
      <c r="F8" s="369"/>
      <c r="G8" s="370"/>
    </row>
    <row r="9" spans="1:9" s="387" customFormat="1" ht="24.95" customHeight="1">
      <c r="A9" s="382"/>
      <c r="B9" s="383" t="s">
        <v>2601</v>
      </c>
      <c r="C9" s="384" t="s">
        <v>2602</v>
      </c>
      <c r="D9" s="385">
        <f>+'7. SP Attivo Alim'!F7</f>
        <v>0</v>
      </c>
      <c r="E9" s="385">
        <f>+'7. SP Attivo Alim'!G7</f>
        <v>0</v>
      </c>
      <c r="F9" s="369"/>
      <c r="G9" s="386"/>
    </row>
    <row r="10" spans="1:9" s="387" customFormat="1" ht="24.95" customHeight="1">
      <c r="A10" s="382"/>
      <c r="B10" s="383" t="s">
        <v>2604</v>
      </c>
      <c r="C10" s="384" t="s">
        <v>2605</v>
      </c>
      <c r="D10" s="385">
        <f>-'7. SP Attivo Alim'!F9</f>
        <v>0</v>
      </c>
      <c r="E10" s="385">
        <f>-'7. SP Attivo Alim'!G9</f>
        <v>0</v>
      </c>
      <c r="F10" s="369"/>
      <c r="G10" s="386"/>
    </row>
    <row r="11" spans="1:9" s="387" customFormat="1" ht="24.95" customHeight="1">
      <c r="A11" s="388"/>
      <c r="B11" s="378" t="s">
        <v>2607</v>
      </c>
      <c r="C11" s="379" t="s">
        <v>2608</v>
      </c>
      <c r="D11" s="380">
        <f>+D12-D13</f>
        <v>0</v>
      </c>
      <c r="E11" s="380">
        <f>+E12-E13</f>
        <v>0</v>
      </c>
      <c r="F11" s="369"/>
      <c r="G11" s="386"/>
    </row>
    <row r="12" spans="1:9" s="387" customFormat="1" ht="24.95" customHeight="1">
      <c r="A12" s="382"/>
      <c r="B12" s="383" t="s">
        <v>2609</v>
      </c>
      <c r="C12" s="384" t="s">
        <v>2610</v>
      </c>
      <c r="D12" s="385">
        <f>+'7. SP Attivo Alim'!F12</f>
        <v>0</v>
      </c>
      <c r="E12" s="385">
        <f>+'7. SP Attivo Alim'!G12</f>
        <v>0</v>
      </c>
      <c r="F12" s="369"/>
      <c r="G12" s="386"/>
    </row>
    <row r="13" spans="1:9" s="387" customFormat="1" ht="24.95" customHeight="1">
      <c r="A13" s="382"/>
      <c r="B13" s="383" t="s">
        <v>2612</v>
      </c>
      <c r="C13" s="384" t="s">
        <v>2613</v>
      </c>
      <c r="D13" s="385">
        <f>-'7. SP Attivo Alim'!F14</f>
        <v>0</v>
      </c>
      <c r="E13" s="385">
        <f>-'7. SP Attivo Alim'!G14</f>
        <v>0</v>
      </c>
      <c r="F13" s="369"/>
      <c r="G13" s="386"/>
    </row>
    <row r="14" spans="1:9" s="387" customFormat="1" ht="24.95" customHeight="1">
      <c r="A14" s="388"/>
      <c r="B14" s="378" t="s">
        <v>2615</v>
      </c>
      <c r="C14" s="379" t="s">
        <v>2616</v>
      </c>
      <c r="D14" s="380">
        <f>+D15-D16+D17-D18</f>
        <v>0</v>
      </c>
      <c r="E14" s="380">
        <f>+E15-E16+E17-E18</f>
        <v>0</v>
      </c>
      <c r="F14" s="369"/>
      <c r="G14" s="386"/>
    </row>
    <row r="15" spans="1:9" s="387" customFormat="1" ht="34.5" customHeight="1">
      <c r="A15" s="382"/>
      <c r="B15" s="383" t="s">
        <v>2617</v>
      </c>
      <c r="C15" s="384" t="s">
        <v>3675</v>
      </c>
      <c r="D15" s="385">
        <f>+'7. SP Attivo Alim'!F17</f>
        <v>0</v>
      </c>
      <c r="E15" s="385">
        <f>+'7. SP Attivo Alim'!G17</f>
        <v>0</v>
      </c>
      <c r="F15" s="369"/>
      <c r="G15" s="386"/>
    </row>
    <row r="16" spans="1:9" s="387" customFormat="1" ht="34.5" customHeight="1">
      <c r="A16" s="382"/>
      <c r="B16" s="383" t="s">
        <v>2620</v>
      </c>
      <c r="C16" s="384" t="s">
        <v>2621</v>
      </c>
      <c r="D16" s="385">
        <f>-'7. SP Attivo Alim'!F19</f>
        <v>0</v>
      </c>
      <c r="E16" s="385">
        <f>-'7. SP Attivo Alim'!G19</f>
        <v>0</v>
      </c>
      <c r="F16" s="369"/>
      <c r="G16" s="386"/>
    </row>
    <row r="17" spans="1:7" s="387" customFormat="1" ht="34.5" customHeight="1">
      <c r="A17" s="382"/>
      <c r="B17" s="383" t="s">
        <v>2623</v>
      </c>
      <c r="C17" s="384" t="s">
        <v>2624</v>
      </c>
      <c r="D17" s="385">
        <f>+'7. SP Attivo Alim'!F21</f>
        <v>0</v>
      </c>
      <c r="E17" s="385">
        <f>+'7. SP Attivo Alim'!G21</f>
        <v>0</v>
      </c>
      <c r="F17" s="369"/>
      <c r="G17" s="386"/>
    </row>
    <row r="18" spans="1:7" s="387" customFormat="1" ht="34.5" customHeight="1">
      <c r="A18" s="382"/>
      <c r="B18" s="383" t="s">
        <v>2626</v>
      </c>
      <c r="C18" s="384" t="s">
        <v>2627</v>
      </c>
      <c r="D18" s="385">
        <f>-'7. SP Attivo Alim'!F23</f>
        <v>0</v>
      </c>
      <c r="E18" s="385">
        <f>-'7. SP Attivo Alim'!G23</f>
        <v>0</v>
      </c>
      <c r="F18" s="369"/>
      <c r="G18" s="386"/>
    </row>
    <row r="19" spans="1:7" s="387" customFormat="1" ht="24.95" customHeight="1">
      <c r="A19" s="382"/>
      <c r="B19" s="389" t="s">
        <v>2629</v>
      </c>
      <c r="C19" s="390" t="s">
        <v>2630</v>
      </c>
      <c r="D19" s="385">
        <f>+'7. SP Attivo Alim'!F25</f>
        <v>0</v>
      </c>
      <c r="E19" s="385">
        <f>+'7. SP Attivo Alim'!G25</f>
        <v>0</v>
      </c>
      <c r="F19" s="369"/>
      <c r="G19" s="386"/>
    </row>
    <row r="20" spans="1:7" s="387" customFormat="1" ht="24.95" customHeight="1">
      <c r="A20" s="388"/>
      <c r="B20" s="378" t="s">
        <v>2632</v>
      </c>
      <c r="C20" s="379" t="s">
        <v>2633</v>
      </c>
      <c r="D20" s="380">
        <f>+D21-D22+D23-D24+D25-D26+D27-D28</f>
        <v>6068.1800000000076</v>
      </c>
      <c r="E20" s="380">
        <f>+E21-E22+E23-E24+E25-E26+E27-E28</f>
        <v>9273.0900000000111</v>
      </c>
      <c r="F20" s="369"/>
      <c r="G20" s="386"/>
    </row>
    <row r="21" spans="1:7" s="387" customFormat="1" ht="24.95" customHeight="1">
      <c r="A21" s="382"/>
      <c r="B21" s="383" t="s">
        <v>2634</v>
      </c>
      <c r="C21" s="384" t="s">
        <v>2635</v>
      </c>
      <c r="D21" s="385">
        <f>+'7. SP Attivo Alim'!F28</f>
        <v>0</v>
      </c>
      <c r="E21" s="385">
        <f>+'7. SP Attivo Alim'!G28</f>
        <v>0</v>
      </c>
      <c r="F21" s="369"/>
      <c r="G21" s="386"/>
    </row>
    <row r="22" spans="1:7" s="387" customFormat="1" ht="24.95" customHeight="1">
      <c r="A22" s="382"/>
      <c r="B22" s="383" t="s">
        <v>2637</v>
      </c>
      <c r="C22" s="384" t="s">
        <v>2638</v>
      </c>
      <c r="D22" s="385">
        <f>-'7. SP Attivo Alim'!F30</f>
        <v>0</v>
      </c>
      <c r="E22" s="385">
        <f>-'7. SP Attivo Alim'!G30</f>
        <v>0</v>
      </c>
      <c r="F22" s="369"/>
      <c r="G22" s="386"/>
    </row>
    <row r="23" spans="1:7" s="387" customFormat="1" ht="24.95" customHeight="1">
      <c r="A23" s="382"/>
      <c r="B23" s="383" t="s">
        <v>2640</v>
      </c>
      <c r="C23" s="384" t="s">
        <v>2641</v>
      </c>
      <c r="D23" s="385">
        <f>+'7. SP Attivo Alim'!F32</f>
        <v>0</v>
      </c>
      <c r="E23" s="385">
        <f>+'7. SP Attivo Alim'!G32</f>
        <v>0</v>
      </c>
      <c r="F23" s="369"/>
      <c r="G23" s="386"/>
    </row>
    <row r="24" spans="1:7" s="387" customFormat="1" ht="24.95" customHeight="1">
      <c r="A24" s="382"/>
      <c r="B24" s="383" t="s">
        <v>2643</v>
      </c>
      <c r="C24" s="384" t="s">
        <v>2644</v>
      </c>
      <c r="D24" s="385">
        <f>-'7. SP Attivo Alim'!F34</f>
        <v>0</v>
      </c>
      <c r="E24" s="385">
        <f>-'7. SP Attivo Alim'!G34</f>
        <v>0</v>
      </c>
      <c r="F24" s="369"/>
      <c r="G24" s="386"/>
    </row>
    <row r="25" spans="1:7" s="387" customFormat="1" ht="24.95" customHeight="1">
      <c r="A25" s="382"/>
      <c r="B25" s="383" t="s">
        <v>2646</v>
      </c>
      <c r="C25" s="384" t="s">
        <v>2647</v>
      </c>
      <c r="D25" s="385">
        <f>+'7. SP Attivo Alim'!F36</f>
        <v>0</v>
      </c>
      <c r="E25" s="385">
        <f>+'7. SP Attivo Alim'!G36</f>
        <v>0</v>
      </c>
      <c r="F25" s="369"/>
      <c r="G25" s="386"/>
    </row>
    <row r="26" spans="1:7" s="387" customFormat="1" ht="24.95" customHeight="1">
      <c r="A26" s="382"/>
      <c r="B26" s="383" t="s">
        <v>2649</v>
      </c>
      <c r="C26" s="384" t="s">
        <v>2650</v>
      </c>
      <c r="D26" s="385">
        <f>-'7. SP Attivo Alim'!F38</f>
        <v>0</v>
      </c>
      <c r="E26" s="385">
        <f>-'7. SP Attivo Alim'!G38</f>
        <v>0</v>
      </c>
      <c r="F26" s="369"/>
      <c r="G26" s="386"/>
    </row>
    <row r="27" spans="1:7" s="387" customFormat="1" ht="24.95" customHeight="1">
      <c r="A27" s="382"/>
      <c r="B27" s="383" t="s">
        <v>2652</v>
      </c>
      <c r="C27" s="384" t="s">
        <v>2653</v>
      </c>
      <c r="D27" s="385">
        <f>+'7. SP Attivo Alim'!F40</f>
        <v>122766.82</v>
      </c>
      <c r="E27" s="385">
        <f>+'7. SP Attivo Alim'!G40</f>
        <v>122066.82</v>
      </c>
      <c r="F27" s="369"/>
      <c r="G27" s="386"/>
    </row>
    <row r="28" spans="1:7" s="387" customFormat="1" ht="24.95" customHeight="1">
      <c r="A28" s="382"/>
      <c r="B28" s="383" t="s">
        <v>2655</v>
      </c>
      <c r="C28" s="384" t="s">
        <v>2656</v>
      </c>
      <c r="D28" s="385">
        <f>-'7. SP Attivo Alim'!F42</f>
        <v>116698.64</v>
      </c>
      <c r="E28" s="385">
        <f>-'7. SP Attivo Alim'!G42</f>
        <v>112793.73</v>
      </c>
      <c r="F28" s="369"/>
      <c r="G28" s="386"/>
    </row>
    <row r="29" spans="1:7" s="387" customFormat="1" ht="24.95" customHeight="1">
      <c r="A29" s="388"/>
      <c r="B29" s="378" t="s">
        <v>2658</v>
      </c>
      <c r="C29" s="379" t="s">
        <v>2659</v>
      </c>
      <c r="D29" s="380">
        <f>SUM(D30:D33)</f>
        <v>0</v>
      </c>
      <c r="E29" s="380">
        <f>SUM(E30:E33)</f>
        <v>0</v>
      </c>
      <c r="F29" s="369"/>
      <c r="G29" s="386"/>
    </row>
    <row r="30" spans="1:7" s="387" customFormat="1" ht="24.95" customHeight="1">
      <c r="A30" s="391"/>
      <c r="B30" s="383" t="s">
        <v>2660</v>
      </c>
      <c r="C30" s="384" t="s">
        <v>2661</v>
      </c>
      <c r="D30" s="385">
        <f>-'7. SP Attivo Alim'!F45</f>
        <v>0</v>
      </c>
      <c r="E30" s="385">
        <f>-'7. SP Attivo Alim'!G45</f>
        <v>0</v>
      </c>
      <c r="F30" s="369"/>
      <c r="G30" s="386"/>
    </row>
    <row r="31" spans="1:7" s="387" customFormat="1" ht="24.95" customHeight="1">
      <c r="A31" s="382"/>
      <c r="B31" s="383" t="s">
        <v>2663</v>
      </c>
      <c r="C31" s="384" t="s">
        <v>2664</v>
      </c>
      <c r="D31" s="385">
        <f>-'7. SP Attivo Alim'!F47</f>
        <v>0</v>
      </c>
      <c r="E31" s="385">
        <f>-'7. SP Attivo Alim'!G47</f>
        <v>0</v>
      </c>
      <c r="F31" s="369"/>
      <c r="G31" s="386"/>
    </row>
    <row r="32" spans="1:7" s="387" customFormat="1" ht="24.95" customHeight="1">
      <c r="A32" s="382"/>
      <c r="B32" s="383" t="s">
        <v>2666</v>
      </c>
      <c r="C32" s="384" t="s">
        <v>2667</v>
      </c>
      <c r="D32" s="385">
        <f>-'7. SP Attivo Alim'!F49</f>
        <v>0</v>
      </c>
      <c r="E32" s="385">
        <f>-'7. SP Attivo Alim'!G49</f>
        <v>0</v>
      </c>
      <c r="F32" s="369"/>
      <c r="G32" s="386"/>
    </row>
    <row r="33" spans="1:7" s="387" customFormat="1" ht="24.95" customHeight="1" thickBot="1">
      <c r="A33" s="392"/>
      <c r="B33" s="393" t="s">
        <v>2669</v>
      </c>
      <c r="C33" s="394" t="s">
        <v>2670</v>
      </c>
      <c r="D33" s="385">
        <f>-'7. SP Attivo Alim'!F51</f>
        <v>0</v>
      </c>
      <c r="E33" s="385">
        <f>-'7. SP Attivo Alim'!G51</f>
        <v>0</v>
      </c>
      <c r="F33" s="369"/>
      <c r="G33" s="386"/>
    </row>
    <row r="34" spans="1:7" s="387" customFormat="1" ht="24.95" customHeight="1">
      <c r="A34" s="395"/>
      <c r="B34" s="396" t="s">
        <v>2672</v>
      </c>
      <c r="C34" s="397" t="s">
        <v>3676</v>
      </c>
      <c r="D34" s="398">
        <f>+D35+D38+D45+D48+D51+D54+D57+D58+D61-D62</f>
        <v>415631.45999999996</v>
      </c>
      <c r="E34" s="398">
        <f>+E35+E38+E45+E48+E51+E54+E57+E58+E61-E62</f>
        <v>492714.95999999996</v>
      </c>
      <c r="F34" s="376"/>
      <c r="G34" s="370"/>
    </row>
    <row r="35" spans="1:7" s="387" customFormat="1" ht="24.95" customHeight="1">
      <c r="A35" s="388"/>
      <c r="B35" s="378" t="s">
        <v>2674</v>
      </c>
      <c r="C35" s="379" t="s">
        <v>2675</v>
      </c>
      <c r="D35" s="380">
        <f>+D36+D37</f>
        <v>0</v>
      </c>
      <c r="E35" s="380">
        <f>+E36+E37</f>
        <v>0</v>
      </c>
      <c r="F35" s="369"/>
      <c r="G35" s="370"/>
    </row>
    <row r="36" spans="1:7" s="387" customFormat="1" ht="24.95" customHeight="1">
      <c r="A36" s="382"/>
      <c r="B36" s="383" t="s">
        <v>2676</v>
      </c>
      <c r="C36" s="384" t="s">
        <v>2677</v>
      </c>
      <c r="D36" s="385">
        <f>+'7. SP Attivo Alim'!F55</f>
        <v>0</v>
      </c>
      <c r="E36" s="385">
        <f>+'7. SP Attivo Alim'!G55</f>
        <v>0</v>
      </c>
      <c r="F36" s="369"/>
      <c r="G36" s="386"/>
    </row>
    <row r="37" spans="1:7" s="387" customFormat="1" ht="24.95" customHeight="1">
      <c r="A37" s="382"/>
      <c r="B37" s="383" t="s">
        <v>2679</v>
      </c>
      <c r="C37" s="384" t="s">
        <v>2680</v>
      </c>
      <c r="D37" s="385">
        <f>+'7. SP Attivo Alim'!F57</f>
        <v>0</v>
      </c>
      <c r="E37" s="385">
        <f>+'7. SP Attivo Alim'!G57</f>
        <v>0</v>
      </c>
      <c r="F37" s="369"/>
      <c r="G37" s="386"/>
    </row>
    <row r="38" spans="1:7" s="387" customFormat="1" ht="24.95" customHeight="1">
      <c r="A38" s="388"/>
      <c r="B38" s="378" t="s">
        <v>2682</v>
      </c>
      <c r="C38" s="379" t="s">
        <v>2683</v>
      </c>
      <c r="D38" s="380">
        <f>+D39+D42</f>
        <v>0</v>
      </c>
      <c r="E38" s="380">
        <f>+E39+E42</f>
        <v>0</v>
      </c>
      <c r="F38" s="369"/>
      <c r="G38" s="386"/>
    </row>
    <row r="39" spans="1:7" s="387" customFormat="1" ht="24.95" customHeight="1">
      <c r="A39" s="382"/>
      <c r="B39" s="383" t="s">
        <v>2684</v>
      </c>
      <c r="C39" s="384" t="s">
        <v>2685</v>
      </c>
      <c r="D39" s="385">
        <f>+D40-D41</f>
        <v>0</v>
      </c>
      <c r="E39" s="385">
        <f>+E40-E41</f>
        <v>0</v>
      </c>
      <c r="F39" s="480" t="s">
        <v>1820</v>
      </c>
      <c r="G39" s="386"/>
    </row>
    <row r="40" spans="1:7" s="387" customFormat="1" ht="24.95" customHeight="1">
      <c r="A40" s="382"/>
      <c r="B40" s="383" t="s">
        <v>2686</v>
      </c>
      <c r="C40" s="384" t="s">
        <v>2687</v>
      </c>
      <c r="D40" s="385">
        <f>+'7. SP Attivo Alim'!F61</f>
        <v>0</v>
      </c>
      <c r="E40" s="385">
        <f>+'7. SP Attivo Alim'!G61</f>
        <v>0</v>
      </c>
      <c r="F40" s="369"/>
      <c r="G40" s="386"/>
    </row>
    <row r="41" spans="1:7" s="387" customFormat="1" ht="24.95" customHeight="1">
      <c r="A41" s="382"/>
      <c r="B41" s="383" t="s">
        <v>2689</v>
      </c>
      <c r="C41" s="384" t="s">
        <v>2690</v>
      </c>
      <c r="D41" s="385">
        <f>-'7. SP Attivo Alim'!F63</f>
        <v>0</v>
      </c>
      <c r="E41" s="385">
        <f>-'7. SP Attivo Alim'!G63</f>
        <v>0</v>
      </c>
      <c r="F41" s="369"/>
      <c r="G41" s="386"/>
    </row>
    <row r="42" spans="1:7" s="387" customFormat="1" ht="24.95" customHeight="1">
      <c r="A42" s="382"/>
      <c r="B42" s="383" t="s">
        <v>2692</v>
      </c>
      <c r="C42" s="384" t="s">
        <v>2693</v>
      </c>
      <c r="D42" s="385">
        <f>+D43-D44</f>
        <v>0</v>
      </c>
      <c r="E42" s="385">
        <f>+E43-E44</f>
        <v>0</v>
      </c>
      <c r="F42" s="480" t="s">
        <v>1820</v>
      </c>
      <c r="G42" s="386"/>
    </row>
    <row r="43" spans="1:7" s="387" customFormat="1" ht="24.95" customHeight="1">
      <c r="A43" s="382"/>
      <c r="B43" s="383" t="s">
        <v>2694</v>
      </c>
      <c r="C43" s="384" t="s">
        <v>2695</v>
      </c>
      <c r="D43" s="385">
        <f>+'7. SP Attivo Alim'!F66</f>
        <v>0</v>
      </c>
      <c r="E43" s="385">
        <f>+'7. SP Attivo Alim'!G66</f>
        <v>0</v>
      </c>
      <c r="F43" s="369"/>
      <c r="G43" s="386"/>
    </row>
    <row r="44" spans="1:7" s="387" customFormat="1" ht="24.95" customHeight="1">
      <c r="A44" s="382"/>
      <c r="B44" s="383" t="s">
        <v>2697</v>
      </c>
      <c r="C44" s="384" t="s">
        <v>2698</v>
      </c>
      <c r="D44" s="385">
        <f>-'7. SP Attivo Alim'!F68</f>
        <v>0</v>
      </c>
      <c r="E44" s="385">
        <f>-'7. SP Attivo Alim'!G68</f>
        <v>0</v>
      </c>
      <c r="F44" s="369"/>
      <c r="G44" s="386"/>
    </row>
    <row r="45" spans="1:7" s="387" customFormat="1" ht="24.95" customHeight="1">
      <c r="A45" s="388"/>
      <c r="B45" s="378" t="s">
        <v>2700</v>
      </c>
      <c r="C45" s="379" t="s">
        <v>2701</v>
      </c>
      <c r="D45" s="380">
        <f>+D46-D47</f>
        <v>102937.08000000002</v>
      </c>
      <c r="E45" s="380">
        <f>+E46-E47</f>
        <v>129718.47000000002</v>
      </c>
      <c r="F45" s="369"/>
      <c r="G45" s="386"/>
    </row>
    <row r="46" spans="1:7" s="387" customFormat="1" ht="24.95" customHeight="1">
      <c r="A46" s="382"/>
      <c r="B46" s="383" t="s">
        <v>2702</v>
      </c>
      <c r="C46" s="384" t="s">
        <v>2703</v>
      </c>
      <c r="D46" s="385">
        <f>+'7. SP Attivo Alim'!F71</f>
        <v>246273.95</v>
      </c>
      <c r="E46" s="385">
        <f>+'7. SP Attivo Alim'!G71</f>
        <v>246273.95</v>
      </c>
      <c r="F46" s="369"/>
      <c r="G46" s="386"/>
    </row>
    <row r="47" spans="1:7" s="387" customFormat="1" ht="24.95" customHeight="1">
      <c r="A47" s="382"/>
      <c r="B47" s="383" t="s">
        <v>2705</v>
      </c>
      <c r="C47" s="384" t="s">
        <v>2706</v>
      </c>
      <c r="D47" s="385">
        <f>-'7. SP Attivo Alim'!F73</f>
        <v>143336.87</v>
      </c>
      <c r="E47" s="385">
        <f>-'7. SP Attivo Alim'!G73</f>
        <v>116555.48</v>
      </c>
      <c r="F47" s="369"/>
      <c r="G47" s="386"/>
    </row>
    <row r="48" spans="1:7" s="387" customFormat="1" ht="24.95" customHeight="1">
      <c r="A48" s="388"/>
      <c r="B48" s="378" t="s">
        <v>2708</v>
      </c>
      <c r="C48" s="379" t="s">
        <v>2709</v>
      </c>
      <c r="D48" s="380">
        <f>+D49-D50</f>
        <v>44457.350000000006</v>
      </c>
      <c r="E48" s="380">
        <f>+E49-E50</f>
        <v>75644.400000000009</v>
      </c>
      <c r="F48" s="369"/>
      <c r="G48" s="386"/>
    </row>
    <row r="49" spans="1:7" s="387" customFormat="1" ht="24.95" customHeight="1">
      <c r="A49" s="382"/>
      <c r="B49" s="383" t="s">
        <v>2710</v>
      </c>
      <c r="C49" s="384" t="s">
        <v>2711</v>
      </c>
      <c r="D49" s="385">
        <f>+'7. SP Attivo Alim'!F76</f>
        <v>198389.26</v>
      </c>
      <c r="E49" s="385">
        <f>+'7. SP Attivo Alim'!G76</f>
        <v>198389.26</v>
      </c>
      <c r="F49" s="369"/>
      <c r="G49" s="386"/>
    </row>
    <row r="50" spans="1:7" s="387" customFormat="1" ht="24.95" customHeight="1">
      <c r="A50" s="382"/>
      <c r="B50" s="383" t="s">
        <v>2713</v>
      </c>
      <c r="C50" s="384" t="s">
        <v>2714</v>
      </c>
      <c r="D50" s="385">
        <f>-'7. SP Attivo Alim'!F78</f>
        <v>153931.91</v>
      </c>
      <c r="E50" s="385">
        <f>-'7. SP Attivo Alim'!G78</f>
        <v>122744.86</v>
      </c>
      <c r="F50" s="369"/>
      <c r="G50" s="386"/>
    </row>
    <row r="51" spans="1:7" s="387" customFormat="1" ht="24.95" customHeight="1">
      <c r="A51" s="388"/>
      <c r="B51" s="378" t="s">
        <v>2716</v>
      </c>
      <c r="C51" s="379" t="s">
        <v>2717</v>
      </c>
      <c r="D51" s="380">
        <f>+D52-D53</f>
        <v>102947.35999999999</v>
      </c>
      <c r="E51" s="380">
        <f>+E52-E53</f>
        <v>93133.13</v>
      </c>
      <c r="F51" s="369"/>
      <c r="G51" s="386"/>
    </row>
    <row r="52" spans="1:7" s="387" customFormat="1" ht="24.95" customHeight="1">
      <c r="A52" s="382"/>
      <c r="B52" s="383" t="s">
        <v>2718</v>
      </c>
      <c r="C52" s="384" t="s">
        <v>2719</v>
      </c>
      <c r="D52" s="385">
        <f>+'7. SP Attivo Alim'!F81</f>
        <v>427161.32</v>
      </c>
      <c r="E52" s="385">
        <f>+'7. SP Attivo Alim'!G81</f>
        <v>393649.14</v>
      </c>
      <c r="F52" s="369"/>
      <c r="G52" s="386"/>
    </row>
    <row r="53" spans="1:7" s="387" customFormat="1" ht="24.95" customHeight="1">
      <c r="A53" s="382"/>
      <c r="B53" s="383" t="s">
        <v>2721</v>
      </c>
      <c r="C53" s="384" t="s">
        <v>2722</v>
      </c>
      <c r="D53" s="385">
        <f>-'7. SP Attivo Alim'!F83</f>
        <v>324213.96000000002</v>
      </c>
      <c r="E53" s="385">
        <f>-'7. SP Attivo Alim'!G83</f>
        <v>300516.01</v>
      </c>
      <c r="F53" s="369"/>
      <c r="G53" s="386"/>
    </row>
    <row r="54" spans="1:7" s="387" customFormat="1" ht="24.95" customHeight="1">
      <c r="A54" s="388"/>
      <c r="B54" s="378" t="s">
        <v>2724</v>
      </c>
      <c r="C54" s="379" t="s">
        <v>2725</v>
      </c>
      <c r="D54" s="380">
        <f>+D55-D56</f>
        <v>1006.8300000000017</v>
      </c>
      <c r="E54" s="380">
        <f>+E55-E56</f>
        <v>3020.4799999999959</v>
      </c>
      <c r="F54" s="369"/>
      <c r="G54" s="386"/>
    </row>
    <row r="55" spans="1:7" s="387" customFormat="1" ht="24.95" customHeight="1">
      <c r="A55" s="382"/>
      <c r="B55" s="383" t="s">
        <v>2726</v>
      </c>
      <c r="C55" s="384" t="s">
        <v>2727</v>
      </c>
      <c r="D55" s="385">
        <f>+'7. SP Attivo Alim'!F86</f>
        <v>96404.45</v>
      </c>
      <c r="E55" s="385">
        <f>+'7. SP Attivo Alim'!G86</f>
        <v>96404.45</v>
      </c>
      <c r="F55" s="369"/>
      <c r="G55" s="386"/>
    </row>
    <row r="56" spans="1:7" s="387" customFormat="1" ht="24.95" customHeight="1">
      <c r="A56" s="382"/>
      <c r="B56" s="383" t="s">
        <v>2729</v>
      </c>
      <c r="C56" s="384" t="s">
        <v>2730</v>
      </c>
      <c r="D56" s="385">
        <f>-'7. SP Attivo Alim'!F88</f>
        <v>95397.62</v>
      </c>
      <c r="E56" s="385">
        <f>-'7. SP Attivo Alim'!G88</f>
        <v>93383.97</v>
      </c>
      <c r="F56" s="369"/>
      <c r="G56" s="386"/>
    </row>
    <row r="57" spans="1:7" s="387" customFormat="1" ht="24.95" customHeight="1">
      <c r="A57" s="382"/>
      <c r="B57" s="389" t="s">
        <v>2732</v>
      </c>
      <c r="C57" s="390" t="s">
        <v>2733</v>
      </c>
      <c r="D57" s="385">
        <f>+'7. SP Attivo Alim'!F90</f>
        <v>0</v>
      </c>
      <c r="E57" s="385">
        <f>+'7. SP Attivo Alim'!G90</f>
        <v>0</v>
      </c>
      <c r="F57" s="369"/>
      <c r="G57" s="386"/>
    </row>
    <row r="58" spans="1:7" s="387" customFormat="1" ht="24.95" customHeight="1">
      <c r="A58" s="388"/>
      <c r="B58" s="378" t="s">
        <v>2735</v>
      </c>
      <c r="C58" s="379" t="s">
        <v>2736</v>
      </c>
      <c r="D58" s="380">
        <f>+D59-D60</f>
        <v>164282.83999999997</v>
      </c>
      <c r="E58" s="380">
        <f>+E59-E60</f>
        <v>191198.47999999998</v>
      </c>
      <c r="F58" s="369"/>
      <c r="G58" s="386"/>
    </row>
    <row r="59" spans="1:7" s="387" customFormat="1" ht="24.95" customHeight="1">
      <c r="A59" s="382"/>
      <c r="B59" s="383" t="s">
        <v>2737</v>
      </c>
      <c r="C59" s="384" t="s">
        <v>2738</v>
      </c>
      <c r="D59" s="385">
        <f>+'7. SP Attivo Alim'!F93</f>
        <v>835019.21</v>
      </c>
      <c r="E59" s="385">
        <f>+'7. SP Attivo Alim'!G93</f>
        <v>784258.52</v>
      </c>
      <c r="F59" s="369"/>
      <c r="G59" s="386"/>
    </row>
    <row r="60" spans="1:7" s="387" customFormat="1" ht="24.95" customHeight="1">
      <c r="A60" s="382"/>
      <c r="B60" s="383" t="s">
        <v>2740</v>
      </c>
      <c r="C60" s="384" t="s">
        <v>2741</v>
      </c>
      <c r="D60" s="385">
        <f>-'7. SP Attivo Alim'!F95</f>
        <v>670736.37</v>
      </c>
      <c r="E60" s="385">
        <f>-'7. SP Attivo Alim'!G95</f>
        <v>593060.04</v>
      </c>
      <c r="F60" s="369"/>
      <c r="G60" s="386"/>
    </row>
    <row r="61" spans="1:7" s="387" customFormat="1" ht="24.95" customHeight="1">
      <c r="A61" s="382"/>
      <c r="B61" s="389" t="s">
        <v>2743</v>
      </c>
      <c r="C61" s="390" t="s">
        <v>2744</v>
      </c>
      <c r="D61" s="385">
        <f>'7. SP Attivo Alim'!F97</f>
        <v>0</v>
      </c>
      <c r="E61" s="385">
        <f>'7. SP Attivo Alim'!G97</f>
        <v>0</v>
      </c>
      <c r="F61" s="369"/>
      <c r="G61" s="386"/>
    </row>
    <row r="62" spans="1:7" s="387" customFormat="1" ht="24.95" customHeight="1">
      <c r="A62" s="388"/>
      <c r="B62" s="378" t="s">
        <v>2746</v>
      </c>
      <c r="C62" s="379" t="s">
        <v>2747</v>
      </c>
      <c r="D62" s="380">
        <f>SUM(D63:D70)</f>
        <v>0</v>
      </c>
      <c r="E62" s="380">
        <f>SUM(E63:E70)</f>
        <v>0</v>
      </c>
      <c r="F62" s="369"/>
      <c r="G62" s="386"/>
    </row>
    <row r="63" spans="1:7" s="387" customFormat="1" ht="24.95" customHeight="1">
      <c r="A63" s="382"/>
      <c r="B63" s="383" t="s">
        <v>2748</v>
      </c>
      <c r="C63" s="384" t="s">
        <v>2749</v>
      </c>
      <c r="D63" s="385">
        <f>-'7. SP Attivo Alim'!F100-'7. SP Attivo Alim'!F101</f>
        <v>0</v>
      </c>
      <c r="E63" s="385">
        <f>-'7. SP Attivo Alim'!G100-'7. SP Attivo Alim'!G101</f>
        <v>0</v>
      </c>
      <c r="F63" s="369"/>
      <c r="G63" s="386"/>
    </row>
    <row r="64" spans="1:7" s="387" customFormat="1" ht="24.95" customHeight="1">
      <c r="A64" s="382"/>
      <c r="B64" s="383" t="s">
        <v>2752</v>
      </c>
      <c r="C64" s="384" t="s">
        <v>2753</v>
      </c>
      <c r="D64" s="385">
        <f>-'7. SP Attivo Alim'!F103-'7. SP Attivo Alim'!F104</f>
        <v>0</v>
      </c>
      <c r="E64" s="385">
        <f>-'7. SP Attivo Alim'!G103-'7. SP Attivo Alim'!G104</f>
        <v>0</v>
      </c>
      <c r="F64" s="369"/>
      <c r="G64" s="386"/>
    </row>
    <row r="65" spans="1:7" s="387" customFormat="1" ht="24.95" customHeight="1">
      <c r="A65" s="382"/>
      <c r="B65" s="383" t="s">
        <v>2756</v>
      </c>
      <c r="C65" s="384" t="s">
        <v>2757</v>
      </c>
      <c r="D65" s="385">
        <f>-'7. SP Attivo Alim'!F106</f>
        <v>0</v>
      </c>
      <c r="E65" s="385">
        <f>-'7. SP Attivo Alim'!G106</f>
        <v>0</v>
      </c>
      <c r="F65" s="369"/>
      <c r="G65" s="386"/>
    </row>
    <row r="66" spans="1:7" s="387" customFormat="1" ht="24.95" customHeight="1">
      <c r="A66" s="382"/>
      <c r="B66" s="383" t="s">
        <v>2759</v>
      </c>
      <c r="C66" s="384" t="s">
        <v>2760</v>
      </c>
      <c r="D66" s="385">
        <f>-'7. SP Attivo Alim'!F108</f>
        <v>0</v>
      </c>
      <c r="E66" s="385">
        <f>-'7. SP Attivo Alim'!G108</f>
        <v>0</v>
      </c>
      <c r="F66" s="369"/>
      <c r="G66" s="386"/>
    </row>
    <row r="67" spans="1:7" s="387" customFormat="1" ht="24.95" customHeight="1">
      <c r="A67" s="382"/>
      <c r="B67" s="383" t="s">
        <v>2762</v>
      </c>
      <c r="C67" s="384" t="s">
        <v>2763</v>
      </c>
      <c r="D67" s="385">
        <f>-'7. SP Attivo Alim'!F110</f>
        <v>0</v>
      </c>
      <c r="E67" s="385">
        <f>-'7. SP Attivo Alim'!G110</f>
        <v>0</v>
      </c>
      <c r="F67" s="369"/>
      <c r="G67" s="386"/>
    </row>
    <row r="68" spans="1:7" s="387" customFormat="1" ht="24.95" customHeight="1">
      <c r="A68" s="382"/>
      <c r="B68" s="383" t="s">
        <v>2765</v>
      </c>
      <c r="C68" s="384" t="s">
        <v>2766</v>
      </c>
      <c r="D68" s="385">
        <f>-'7. SP Attivo Alim'!F112</f>
        <v>0</v>
      </c>
      <c r="E68" s="385">
        <f>-'7. SP Attivo Alim'!G112</f>
        <v>0</v>
      </c>
      <c r="F68" s="369"/>
      <c r="G68" s="386"/>
    </row>
    <row r="69" spans="1:7" s="387" customFormat="1" ht="24.95" customHeight="1">
      <c r="A69" s="382"/>
      <c r="B69" s="383" t="s">
        <v>2768</v>
      </c>
      <c r="C69" s="384" t="s">
        <v>2769</v>
      </c>
      <c r="D69" s="385">
        <f>-'7. SP Attivo Alim'!F114</f>
        <v>0</v>
      </c>
      <c r="E69" s="385">
        <f>-'7. SP Attivo Alim'!G114</f>
        <v>0</v>
      </c>
      <c r="F69" s="369"/>
      <c r="G69" s="386"/>
    </row>
    <row r="70" spans="1:7" s="387" customFormat="1" ht="24.95" customHeight="1" thickBot="1">
      <c r="A70" s="392"/>
      <c r="B70" s="393" t="s">
        <v>2771</v>
      </c>
      <c r="C70" s="394" t="s">
        <v>2772</v>
      </c>
      <c r="D70" s="385">
        <f>-'7. SP Attivo Alim'!F116</f>
        <v>0</v>
      </c>
      <c r="E70" s="385">
        <f>-'7. SP Attivo Alim'!G116</f>
        <v>0</v>
      </c>
      <c r="F70" s="369"/>
      <c r="G70" s="386"/>
    </row>
    <row r="71" spans="1:7" s="387" customFormat="1" ht="24.95" customHeight="1">
      <c r="A71" s="395"/>
      <c r="B71" s="396" t="s">
        <v>2774</v>
      </c>
      <c r="C71" s="397" t="s">
        <v>3677</v>
      </c>
      <c r="D71" s="398">
        <f>+D72+D77</f>
        <v>0</v>
      </c>
      <c r="E71" s="398">
        <f>+E72+E77</f>
        <v>0</v>
      </c>
      <c r="F71" s="369"/>
      <c r="G71" s="386"/>
    </row>
    <row r="72" spans="1:7" s="387" customFormat="1" ht="24.95" customHeight="1">
      <c r="A72" s="388"/>
      <c r="B72" s="378" t="s">
        <v>2776</v>
      </c>
      <c r="C72" s="379" t="s">
        <v>2777</v>
      </c>
      <c r="D72" s="380">
        <f>SUM(D73:D76)</f>
        <v>0</v>
      </c>
      <c r="E72" s="380">
        <f>SUM(E73:E76)</f>
        <v>0</v>
      </c>
      <c r="F72" s="369"/>
      <c r="G72" s="386"/>
    </row>
    <row r="73" spans="1:7" s="387" customFormat="1" ht="24.95" customHeight="1">
      <c r="A73" s="382"/>
      <c r="B73" s="383" t="s">
        <v>2778</v>
      </c>
      <c r="C73" s="384" t="s">
        <v>2779</v>
      </c>
      <c r="D73" s="385">
        <f>+'7. SP Attivo Alim'!F120+'7. SP Attivo Alim'!F121</f>
        <v>0</v>
      </c>
      <c r="E73" s="385">
        <f>+'7. SP Attivo Alim'!G120+'7. SP Attivo Alim'!G121</f>
        <v>0</v>
      </c>
      <c r="F73" s="369"/>
      <c r="G73" s="386"/>
    </row>
    <row r="74" spans="1:7" s="387" customFormat="1" ht="24.95" customHeight="1">
      <c r="A74" s="382"/>
      <c r="B74" s="383" t="s">
        <v>2782</v>
      </c>
      <c r="C74" s="384" t="s">
        <v>2783</v>
      </c>
      <c r="D74" s="385">
        <f>+'7. SP Attivo Alim'!F123+'7. SP Attivo Alim'!F124</f>
        <v>0</v>
      </c>
      <c r="E74" s="385">
        <f>+'7. SP Attivo Alim'!G123+'7. SP Attivo Alim'!G124</f>
        <v>0</v>
      </c>
      <c r="F74" s="369"/>
      <c r="G74" s="386"/>
    </row>
    <row r="75" spans="1:7" s="387" customFormat="1" ht="24.95" customHeight="1">
      <c r="A75" s="382"/>
      <c r="B75" s="383" t="s">
        <v>2786</v>
      </c>
      <c r="C75" s="384" t="s">
        <v>2787</v>
      </c>
      <c r="D75" s="385">
        <f>+'7. SP Attivo Alim'!F126+'7. SP Attivo Alim'!F127</f>
        <v>0</v>
      </c>
      <c r="E75" s="385">
        <f>+'7. SP Attivo Alim'!G126+'7. SP Attivo Alim'!G127</f>
        <v>0</v>
      </c>
      <c r="F75" s="369"/>
      <c r="G75" s="386"/>
    </row>
    <row r="76" spans="1:7" s="387" customFormat="1" ht="24.95" customHeight="1">
      <c r="A76" s="382"/>
      <c r="B76" s="383" t="s">
        <v>2790</v>
      </c>
      <c r="C76" s="384" t="s">
        <v>2791</v>
      </c>
      <c r="D76" s="385">
        <f>+'7. SP Attivo Alim'!F129+'7. SP Attivo Alim'!F130+'7. SP Attivo Alim'!F131+'7. SP Attivo Alim'!F132</f>
        <v>0</v>
      </c>
      <c r="E76" s="385">
        <f>+'7. SP Attivo Alim'!G129+'7. SP Attivo Alim'!G130+'7. SP Attivo Alim'!G131+'7. SP Attivo Alim'!G132</f>
        <v>0</v>
      </c>
      <c r="F76" s="369"/>
      <c r="G76" s="386"/>
    </row>
    <row r="77" spans="1:7" s="387" customFormat="1" ht="24.95" customHeight="1">
      <c r="A77" s="388"/>
      <c r="B77" s="378" t="s">
        <v>2796</v>
      </c>
      <c r="C77" s="379" t="s">
        <v>2797</v>
      </c>
      <c r="D77" s="380">
        <f>+D78+D79</f>
        <v>0</v>
      </c>
      <c r="E77" s="380">
        <f>+E78+E79</f>
        <v>0</v>
      </c>
      <c r="F77" s="369"/>
      <c r="G77" s="386"/>
    </row>
    <row r="78" spans="1:7" s="387" customFormat="1" ht="24.95" customHeight="1">
      <c r="A78" s="382"/>
      <c r="B78" s="383" t="s">
        <v>2798</v>
      </c>
      <c r="C78" s="384" t="s">
        <v>2799</v>
      </c>
      <c r="D78" s="385">
        <f>+'7. SP Attivo Alim'!F135</f>
        <v>0</v>
      </c>
      <c r="E78" s="385">
        <f>+'7. SP Attivo Alim'!G135</f>
        <v>0</v>
      </c>
      <c r="F78" s="369"/>
      <c r="G78" s="386"/>
    </row>
    <row r="79" spans="1:7" s="387" customFormat="1" ht="24.95" customHeight="1">
      <c r="A79" s="382"/>
      <c r="B79" s="383" t="s">
        <v>2801</v>
      </c>
      <c r="C79" s="384" t="s">
        <v>2802</v>
      </c>
      <c r="D79" s="385">
        <f>SUM(D80:D83)</f>
        <v>0</v>
      </c>
      <c r="E79" s="385">
        <f>SUM(E80:E83)</f>
        <v>0</v>
      </c>
      <c r="F79" s="480" t="s">
        <v>1820</v>
      </c>
      <c r="G79" s="386"/>
    </row>
    <row r="80" spans="1:7" s="387" customFormat="1" ht="24.95" customHeight="1">
      <c r="A80" s="382"/>
      <c r="B80" s="383" t="s">
        <v>2803</v>
      </c>
      <c r="C80" s="384" t="s">
        <v>2804</v>
      </c>
      <c r="D80" s="385">
        <f>+'7. SP Attivo Alim'!F138</f>
        <v>0</v>
      </c>
      <c r="E80" s="385">
        <f>+'7. SP Attivo Alim'!G138</f>
        <v>0</v>
      </c>
      <c r="F80" s="369"/>
      <c r="G80" s="386"/>
    </row>
    <row r="81" spans="1:7" s="387" customFormat="1" ht="24.95" customHeight="1">
      <c r="A81" s="382"/>
      <c r="B81" s="383" t="s">
        <v>2806</v>
      </c>
      <c r="C81" s="384" t="s">
        <v>2807</v>
      </c>
      <c r="D81" s="385">
        <f>+'7. SP Attivo Alim'!F140</f>
        <v>0</v>
      </c>
      <c r="E81" s="385">
        <f>+'7. SP Attivo Alim'!G140</f>
        <v>0</v>
      </c>
      <c r="F81" s="369"/>
      <c r="G81" s="386"/>
    </row>
    <row r="82" spans="1:7" s="387" customFormat="1" ht="24.95" customHeight="1">
      <c r="A82" s="382"/>
      <c r="B82" s="383" t="s">
        <v>2809</v>
      </c>
      <c r="C82" s="384" t="s">
        <v>2810</v>
      </c>
      <c r="D82" s="385">
        <f>+'7. SP Attivo Alim'!F142</f>
        <v>0</v>
      </c>
      <c r="E82" s="385">
        <f>+'7. SP Attivo Alim'!G142</f>
        <v>0</v>
      </c>
      <c r="F82" s="369"/>
      <c r="G82" s="386"/>
    </row>
    <row r="83" spans="1:7" s="387" customFormat="1" ht="24.95" customHeight="1" thickBot="1">
      <c r="A83" s="392"/>
      <c r="B83" s="393" t="s">
        <v>2812</v>
      </c>
      <c r="C83" s="394" t="s">
        <v>2813</v>
      </c>
      <c r="D83" s="385">
        <f>+'7. SP Attivo Alim'!F144</f>
        <v>0</v>
      </c>
      <c r="E83" s="385">
        <f>+'7. SP Attivo Alim'!G144</f>
        <v>0</v>
      </c>
      <c r="F83" s="369"/>
      <c r="G83" s="386"/>
    </row>
    <row r="84" spans="1:7" s="387" customFormat="1" ht="24.95" customHeight="1">
      <c r="A84" s="365"/>
      <c r="B84" s="366" t="s">
        <v>2815</v>
      </c>
      <c r="C84" s="367" t="s">
        <v>2816</v>
      </c>
      <c r="D84" s="399">
        <f>+D85+D104+D168+D171</f>
        <v>247439146.5</v>
      </c>
      <c r="E84" s="399">
        <f>+E85+E104+E168+E171</f>
        <v>195675919.67999998</v>
      </c>
      <c r="F84" s="369"/>
      <c r="G84" s="386"/>
    </row>
    <row r="85" spans="1:7" s="387" customFormat="1" ht="24.95" customHeight="1">
      <c r="A85" s="372"/>
      <c r="B85" s="373" t="s">
        <v>2817</v>
      </c>
      <c r="C85" s="374" t="s">
        <v>2818</v>
      </c>
      <c r="D85" s="375">
        <f>+D86+D96</f>
        <v>65966511.089999996</v>
      </c>
      <c r="E85" s="375">
        <f>+E86+E96</f>
        <v>53597090.349999994</v>
      </c>
      <c r="F85" s="369"/>
      <c r="G85" s="386"/>
    </row>
    <row r="86" spans="1:7" s="387" customFormat="1" ht="24.95" customHeight="1">
      <c r="A86" s="388"/>
      <c r="B86" s="378" t="s">
        <v>2819</v>
      </c>
      <c r="C86" s="379" t="s">
        <v>2820</v>
      </c>
      <c r="D86" s="380">
        <f>SUM(D87:D95)</f>
        <v>64595308.219999999</v>
      </c>
      <c r="E86" s="380">
        <f>SUM(E87:E95)</f>
        <v>51819776.849999994</v>
      </c>
      <c r="F86" s="369"/>
      <c r="G86" s="386"/>
    </row>
    <row r="87" spans="1:7" s="387" customFormat="1" ht="24.95" customHeight="1">
      <c r="A87" s="382"/>
      <c r="B87" s="383" t="s">
        <v>2821</v>
      </c>
      <c r="C87" s="384" t="s">
        <v>2822</v>
      </c>
      <c r="D87" s="385">
        <f>+'7. SP Attivo Alim'!F149+'7. SP Attivo Alim'!F150+'7. SP Attivo Alim'!F151</f>
        <v>48945930.100000001</v>
      </c>
      <c r="E87" s="385">
        <f>+'7. SP Attivo Alim'!G149+'7. SP Attivo Alim'!G150+'7. SP Attivo Alim'!G151</f>
        <v>38052214.659999996</v>
      </c>
      <c r="F87" s="369"/>
      <c r="G87" s="386"/>
    </row>
    <row r="88" spans="1:7" s="387" customFormat="1" ht="24.95" customHeight="1">
      <c r="A88" s="382"/>
      <c r="B88" s="383" t="s">
        <v>2826</v>
      </c>
      <c r="C88" s="384" t="s">
        <v>2827</v>
      </c>
      <c r="D88" s="385">
        <f>+'7. SP Attivo Alim'!F153</f>
        <v>0</v>
      </c>
      <c r="E88" s="385">
        <f>+'7. SP Attivo Alim'!G153</f>
        <v>0</v>
      </c>
      <c r="F88" s="369"/>
      <c r="G88" s="386"/>
    </row>
    <row r="89" spans="1:7" s="387" customFormat="1" ht="24.95" customHeight="1">
      <c r="A89" s="382"/>
      <c r="B89" s="383" t="s">
        <v>2829</v>
      </c>
      <c r="C89" s="384" t="s">
        <v>2830</v>
      </c>
      <c r="D89" s="385">
        <f>+'7. SP Attivo Alim'!F155+'7. SP Attivo Alim'!F156+'7. SP Attivo Alim'!F157</f>
        <v>13571303.1</v>
      </c>
      <c r="E89" s="385">
        <f>+'7. SP Attivo Alim'!G155+'7. SP Attivo Alim'!G156+'7. SP Attivo Alim'!G157</f>
        <v>11575369.369999999</v>
      </c>
      <c r="F89" s="369"/>
      <c r="G89" s="386"/>
    </row>
    <row r="90" spans="1:7" s="387" customFormat="1" ht="24.95" customHeight="1">
      <c r="A90" s="382"/>
      <c r="B90" s="383" t="s">
        <v>2834</v>
      </c>
      <c r="C90" s="384" t="s">
        <v>2835</v>
      </c>
      <c r="D90" s="385">
        <f>+'7. SP Attivo Alim'!F159</f>
        <v>457565.91</v>
      </c>
      <c r="E90" s="385">
        <f>+'7. SP Attivo Alim'!G159</f>
        <v>354084.91</v>
      </c>
      <c r="F90" s="369"/>
      <c r="G90" s="386"/>
    </row>
    <row r="91" spans="1:7" s="387" customFormat="1" ht="24.95" customHeight="1">
      <c r="A91" s="382"/>
      <c r="B91" s="383" t="s">
        <v>2837</v>
      </c>
      <c r="C91" s="384" t="s">
        <v>2838</v>
      </c>
      <c r="D91" s="385">
        <f>+'7. SP Attivo Alim'!F161</f>
        <v>1411280.69</v>
      </c>
      <c r="E91" s="385">
        <f>+'7. SP Attivo Alim'!G161</f>
        <v>1350019.01</v>
      </c>
      <c r="F91" s="369"/>
      <c r="G91" s="386"/>
    </row>
    <row r="92" spans="1:7" s="387" customFormat="1" ht="24.95" customHeight="1">
      <c r="A92" s="382"/>
      <c r="B92" s="383" t="s">
        <v>2840</v>
      </c>
      <c r="C92" s="384" t="s">
        <v>2841</v>
      </c>
      <c r="D92" s="385">
        <f>+'7. SP Attivo Alim'!F163</f>
        <v>10347.68</v>
      </c>
      <c r="E92" s="385">
        <f>+'7. SP Attivo Alim'!G163</f>
        <v>0</v>
      </c>
      <c r="F92" s="369"/>
      <c r="G92" s="386"/>
    </row>
    <row r="93" spans="1:7" s="387" customFormat="1" ht="24.95" customHeight="1">
      <c r="A93" s="382"/>
      <c r="B93" s="383" t="s">
        <v>2843</v>
      </c>
      <c r="C93" s="384" t="s">
        <v>2844</v>
      </c>
      <c r="D93" s="385">
        <f>+'7. SP Attivo Alim'!F165</f>
        <v>35986.22</v>
      </c>
      <c r="E93" s="385">
        <f>+'7. SP Attivo Alim'!G165</f>
        <v>7277.27</v>
      </c>
      <c r="F93" s="369"/>
      <c r="G93" s="386"/>
    </row>
    <row r="94" spans="1:7" s="387" customFormat="1" ht="24.95" customHeight="1">
      <c r="A94" s="382"/>
      <c r="B94" s="383" t="s">
        <v>2846</v>
      </c>
      <c r="C94" s="384" t="s">
        <v>2847</v>
      </c>
      <c r="D94" s="385">
        <f>+'7. SP Attivo Alim'!F167</f>
        <v>162894.51999999999</v>
      </c>
      <c r="E94" s="385">
        <f>+'7. SP Attivo Alim'!G167</f>
        <v>480811.63</v>
      </c>
      <c r="F94" s="369"/>
      <c r="G94" s="386"/>
    </row>
    <row r="95" spans="1:7" s="387" customFormat="1" ht="24.95" customHeight="1">
      <c r="A95" s="382"/>
      <c r="B95" s="383" t="s">
        <v>2849</v>
      </c>
      <c r="C95" s="384" t="s">
        <v>2850</v>
      </c>
      <c r="D95" s="385">
        <f>+'7. SP Attivo Alim'!F169</f>
        <v>0</v>
      </c>
      <c r="E95" s="385">
        <f>+'7. SP Attivo Alim'!G169</f>
        <v>0</v>
      </c>
      <c r="F95" s="369"/>
      <c r="G95" s="386"/>
    </row>
    <row r="96" spans="1:7" s="387" customFormat="1" ht="24.95" customHeight="1">
      <c r="A96" s="388"/>
      <c r="B96" s="378" t="s">
        <v>2852</v>
      </c>
      <c r="C96" s="379" t="s">
        <v>2853</v>
      </c>
      <c r="D96" s="380">
        <f>SUM(D97:D103)</f>
        <v>1371202.87</v>
      </c>
      <c r="E96" s="380">
        <f>SUM(E97:E103)</f>
        <v>1777313.4999999998</v>
      </c>
      <c r="F96" s="369"/>
      <c r="G96" s="386"/>
    </row>
    <row r="97" spans="1:7" s="387" customFormat="1" ht="24.95" customHeight="1">
      <c r="A97" s="382"/>
      <c r="B97" s="383" t="s">
        <v>2854</v>
      </c>
      <c r="C97" s="384" t="s">
        <v>2855</v>
      </c>
      <c r="D97" s="385">
        <f>+'7. SP Attivo Alim'!F172</f>
        <v>8699.36</v>
      </c>
      <c r="E97" s="385">
        <f>+'7. SP Attivo Alim'!G172</f>
        <v>8474.9</v>
      </c>
      <c r="F97" s="369"/>
      <c r="G97" s="386"/>
    </row>
    <row r="98" spans="1:7" s="387" customFormat="1" ht="24.95" customHeight="1">
      <c r="A98" s="382"/>
      <c r="B98" s="383" t="s">
        <v>2857</v>
      </c>
      <c r="C98" s="384" t="s">
        <v>2858</v>
      </c>
      <c r="D98" s="385">
        <f>+'7. SP Attivo Alim'!F174</f>
        <v>1153868.5</v>
      </c>
      <c r="E98" s="385">
        <f>+'7. SP Attivo Alim'!G174</f>
        <v>1565485</v>
      </c>
      <c r="F98" s="369"/>
      <c r="G98" s="386"/>
    </row>
    <row r="99" spans="1:7" s="387" customFormat="1" ht="24.95" customHeight="1">
      <c r="A99" s="382"/>
      <c r="B99" s="383" t="s">
        <v>2860</v>
      </c>
      <c r="C99" s="384" t="s">
        <v>2861</v>
      </c>
      <c r="D99" s="385">
        <f>+'7. SP Attivo Alim'!F176</f>
        <v>0</v>
      </c>
      <c r="E99" s="385">
        <f>+'7. SP Attivo Alim'!G176</f>
        <v>0</v>
      </c>
      <c r="F99" s="369"/>
      <c r="G99" s="386"/>
    </row>
    <row r="100" spans="1:7" s="387" customFormat="1" ht="24.95" customHeight="1">
      <c r="A100" s="382"/>
      <c r="B100" s="383" t="s">
        <v>2863</v>
      </c>
      <c r="C100" s="384" t="s">
        <v>2864</v>
      </c>
      <c r="D100" s="385">
        <f>+'7. SP Attivo Alim'!F178</f>
        <v>185827.26</v>
      </c>
      <c r="E100" s="385">
        <f>+'7. SP Attivo Alim'!G178</f>
        <v>193253.36</v>
      </c>
      <c r="F100" s="369"/>
      <c r="G100" s="386"/>
    </row>
    <row r="101" spans="1:7" s="387" customFormat="1" ht="24.95" customHeight="1">
      <c r="A101" s="382"/>
      <c r="B101" s="383" t="s">
        <v>2866</v>
      </c>
      <c r="C101" s="384" t="s">
        <v>2867</v>
      </c>
      <c r="D101" s="385">
        <f>+'7. SP Attivo Alim'!F180</f>
        <v>16591.13</v>
      </c>
      <c r="E101" s="385">
        <f>+'7. SP Attivo Alim'!G180</f>
        <v>38.5</v>
      </c>
      <c r="F101" s="369"/>
      <c r="G101" s="386"/>
    </row>
    <row r="102" spans="1:7" s="387" customFormat="1" ht="24.95" customHeight="1">
      <c r="A102" s="382"/>
      <c r="B102" s="383" t="s">
        <v>2869</v>
      </c>
      <c r="C102" s="384" t="s">
        <v>2870</v>
      </c>
      <c r="D102" s="385">
        <f>+'7. SP Attivo Alim'!F182</f>
        <v>6216.62</v>
      </c>
      <c r="E102" s="385">
        <f>+'7. SP Attivo Alim'!G182</f>
        <v>10061.74</v>
      </c>
      <c r="F102" s="369"/>
      <c r="G102" s="386"/>
    </row>
    <row r="103" spans="1:7" s="387" customFormat="1" ht="24.95" customHeight="1" thickBot="1">
      <c r="A103" s="392"/>
      <c r="B103" s="393" t="s">
        <v>2872</v>
      </c>
      <c r="C103" s="394" t="s">
        <v>2873</v>
      </c>
      <c r="D103" s="385">
        <f>+'7. SP Attivo Alim'!F184</f>
        <v>0</v>
      </c>
      <c r="E103" s="385">
        <f>+'7. SP Attivo Alim'!G184</f>
        <v>0</v>
      </c>
      <c r="F103" s="369"/>
      <c r="G103" s="386"/>
    </row>
    <row r="104" spans="1:7" s="387" customFormat="1" ht="24.95" customHeight="1">
      <c r="A104" s="395"/>
      <c r="B104" s="396" t="s">
        <v>2875</v>
      </c>
      <c r="C104" s="397" t="s">
        <v>3678</v>
      </c>
      <c r="D104" s="398">
        <f>+D105+D121+D142+D143+D152++D156+D157</f>
        <v>148663909.16</v>
      </c>
      <c r="E104" s="398">
        <f>+E105+E121+E142+E143+E152++E156+E157</f>
        <v>51603328.129999995</v>
      </c>
      <c r="F104" s="369"/>
      <c r="G104" s="386"/>
    </row>
    <row r="105" spans="1:7" s="387" customFormat="1" ht="24.95" customHeight="1">
      <c r="A105" s="388"/>
      <c r="B105" s="378" t="s">
        <v>2877</v>
      </c>
      <c r="C105" s="379" t="s">
        <v>2878</v>
      </c>
      <c r="D105" s="380">
        <f>SUM(D106:D115,D120)</f>
        <v>0</v>
      </c>
      <c r="E105" s="380">
        <f>SUM(E106:E115,E120)</f>
        <v>0.01</v>
      </c>
      <c r="F105" s="369"/>
      <c r="G105" s="386"/>
    </row>
    <row r="106" spans="1:7" s="215" customFormat="1" ht="24.95" customHeight="1">
      <c r="A106" s="400" t="s">
        <v>1287</v>
      </c>
      <c r="B106" s="401" t="s">
        <v>2879</v>
      </c>
      <c r="C106" s="402" t="s">
        <v>2880</v>
      </c>
      <c r="D106" s="385">
        <f>+'7. SP Attivo Alim'!F188+'7. SP Attivo Alim'!F189</f>
        <v>0</v>
      </c>
      <c r="E106" s="385">
        <f>+'7. SP Attivo Alim'!G188+'7. SP Attivo Alim'!G189</f>
        <v>0</v>
      </c>
      <c r="F106" s="376"/>
      <c r="G106" s="403"/>
    </row>
    <row r="107" spans="1:7" s="215" customFormat="1" ht="24.95" customHeight="1">
      <c r="A107" s="400" t="s">
        <v>1287</v>
      </c>
      <c r="B107" s="401" t="s">
        <v>2883</v>
      </c>
      <c r="C107" s="402" t="s">
        <v>2884</v>
      </c>
      <c r="D107" s="385">
        <f>+'7. SP Attivo Alim'!F191+'7. SP Attivo Alim'!F192</f>
        <v>0</v>
      </c>
      <c r="E107" s="385">
        <f>+'7. SP Attivo Alim'!G191+'7. SP Attivo Alim'!G192</f>
        <v>0</v>
      </c>
      <c r="F107" s="404"/>
      <c r="G107" s="405"/>
    </row>
    <row r="108" spans="1:7" s="215" customFormat="1" ht="24.95" customHeight="1">
      <c r="A108" s="400" t="s">
        <v>1283</v>
      </c>
      <c r="B108" s="401" t="s">
        <v>2887</v>
      </c>
      <c r="C108" s="402" t="s">
        <v>2888</v>
      </c>
      <c r="D108" s="385">
        <f>+'7. SP Attivo Alim'!F194+'7. SP Attivo Alim'!F195</f>
        <v>0</v>
      </c>
      <c r="E108" s="385">
        <f>+'7. SP Attivo Alim'!G194+'7. SP Attivo Alim'!G195</f>
        <v>0</v>
      </c>
      <c r="F108" s="404"/>
      <c r="G108" s="405"/>
    </row>
    <row r="109" spans="1:7" s="215" customFormat="1" ht="24.95" customHeight="1">
      <c r="A109" s="406"/>
      <c r="B109" s="401" t="s">
        <v>2891</v>
      </c>
      <c r="C109" s="402" t="s">
        <v>2892</v>
      </c>
      <c r="D109" s="385">
        <f>+'7. SP Attivo Alim'!F197+'7. SP Attivo Alim'!F198</f>
        <v>0</v>
      </c>
      <c r="E109" s="385">
        <f>+'7. SP Attivo Alim'!G197+'7. SP Attivo Alim'!G198</f>
        <v>0</v>
      </c>
      <c r="F109" s="404"/>
      <c r="G109" s="405"/>
    </row>
    <row r="110" spans="1:7" s="215" customFormat="1" ht="30" customHeight="1">
      <c r="A110" s="400" t="s">
        <v>1287</v>
      </c>
      <c r="B110" s="401" t="s">
        <v>2895</v>
      </c>
      <c r="C110" s="402" t="s">
        <v>2896</v>
      </c>
      <c r="D110" s="385">
        <f>+'7. SP Attivo Alim'!F200+'7. SP Attivo Alim'!F201</f>
        <v>0</v>
      </c>
      <c r="E110" s="385">
        <f>+'7. SP Attivo Alim'!G200+'7. SP Attivo Alim'!G201</f>
        <v>0</v>
      </c>
      <c r="F110" s="404"/>
      <c r="G110" s="405"/>
    </row>
    <row r="111" spans="1:7" s="215" customFormat="1" ht="24.95" customHeight="1">
      <c r="A111" s="400" t="s">
        <v>1287</v>
      </c>
      <c r="B111" s="401" t="s">
        <v>2899</v>
      </c>
      <c r="C111" s="402" t="s">
        <v>2900</v>
      </c>
      <c r="D111" s="385">
        <f>+'7. SP Attivo Alim'!F203+'7. SP Attivo Alim'!F204</f>
        <v>0</v>
      </c>
      <c r="E111" s="385">
        <f>+'7. SP Attivo Alim'!G203+'7. SP Attivo Alim'!G204</f>
        <v>0</v>
      </c>
      <c r="F111" s="404"/>
      <c r="G111" s="405"/>
    </row>
    <row r="112" spans="1:7" s="215" customFormat="1" ht="24.95" customHeight="1">
      <c r="A112" s="400" t="s">
        <v>1287</v>
      </c>
      <c r="B112" s="401" t="s">
        <v>2903</v>
      </c>
      <c r="C112" s="402" t="s">
        <v>2904</v>
      </c>
      <c r="D112" s="385">
        <f>+'7. SP Attivo Alim'!F206+'7. SP Attivo Alim'!F207+'7. SP Attivo Alim'!F208+'7. SP Attivo Alim'!F209</f>
        <v>0</v>
      </c>
      <c r="E112" s="385">
        <f>+'7. SP Attivo Alim'!G206+'7. SP Attivo Alim'!G207+'7. SP Attivo Alim'!G208+'7. SP Attivo Alim'!G209</f>
        <v>0.01</v>
      </c>
      <c r="F112" s="404"/>
      <c r="G112" s="405"/>
    </row>
    <row r="113" spans="1:7" s="404" customFormat="1" ht="24.95" customHeight="1">
      <c r="A113" s="400" t="s">
        <v>1287</v>
      </c>
      <c r="B113" s="401" t="s">
        <v>2909</v>
      </c>
      <c r="C113" s="402" t="s">
        <v>3679</v>
      </c>
      <c r="D113" s="385">
        <f>+'7. SP Attivo Alim'!F211+'7. SP Attivo Alim'!F212</f>
        <v>0</v>
      </c>
      <c r="E113" s="385">
        <f>+'7. SP Attivo Alim'!G211+'7. SP Attivo Alim'!G212</f>
        <v>0</v>
      </c>
      <c r="G113" s="403"/>
    </row>
    <row r="114" spans="1:7" s="215" customFormat="1" ht="24.95" customHeight="1">
      <c r="A114" s="400" t="s">
        <v>1287</v>
      </c>
      <c r="B114" s="401" t="s">
        <v>2913</v>
      </c>
      <c r="C114" s="402" t="s">
        <v>2914</v>
      </c>
      <c r="D114" s="385">
        <f>+'7. SP Attivo Alim'!F214+'7. SP Attivo Alim'!F215</f>
        <v>0</v>
      </c>
      <c r="E114" s="385">
        <f>+'7. SP Attivo Alim'!G214+'7. SP Attivo Alim'!G215</f>
        <v>0</v>
      </c>
      <c r="F114" s="376"/>
      <c r="G114" s="403"/>
    </row>
    <row r="115" spans="1:7" s="215" customFormat="1" ht="24.95" customHeight="1">
      <c r="A115" s="407"/>
      <c r="B115" s="408" t="s">
        <v>2917</v>
      </c>
      <c r="C115" s="409" t="s">
        <v>2918</v>
      </c>
      <c r="D115" s="410">
        <f>+D116+D117+D118+D119</f>
        <v>0</v>
      </c>
      <c r="E115" s="410">
        <f>+E116+E117+E118+E119</f>
        <v>0</v>
      </c>
      <c r="F115" s="376"/>
      <c r="G115" s="403"/>
    </row>
    <row r="116" spans="1:7" s="215" customFormat="1" ht="24.95" customHeight="1">
      <c r="A116" s="400" t="s">
        <v>1287</v>
      </c>
      <c r="B116" s="401" t="s">
        <v>2919</v>
      </c>
      <c r="C116" s="402" t="s">
        <v>2920</v>
      </c>
      <c r="D116" s="385">
        <f>+'7. SP Attivo Alim'!F218+'7. SP Attivo Alim'!F219</f>
        <v>0</v>
      </c>
      <c r="E116" s="385">
        <f>+'7. SP Attivo Alim'!G218+'7. SP Attivo Alim'!G219</f>
        <v>0</v>
      </c>
      <c r="F116" s="376"/>
      <c r="G116" s="403"/>
    </row>
    <row r="117" spans="1:7" s="215" customFormat="1" ht="24.95" customHeight="1">
      <c r="A117" s="400" t="s">
        <v>1287</v>
      </c>
      <c r="B117" s="401" t="s">
        <v>2923</v>
      </c>
      <c r="C117" s="402" t="s">
        <v>2924</v>
      </c>
      <c r="D117" s="385">
        <f>+'7. SP Attivo Alim'!F221+'7. SP Attivo Alim'!F222</f>
        <v>0</v>
      </c>
      <c r="E117" s="385">
        <f>+'7. SP Attivo Alim'!G221+'7. SP Attivo Alim'!G222</f>
        <v>0</v>
      </c>
      <c r="F117" s="376"/>
      <c r="G117" s="403"/>
    </row>
    <row r="118" spans="1:7" s="215" customFormat="1" ht="24.95" customHeight="1">
      <c r="A118" s="400" t="s">
        <v>1287</v>
      </c>
      <c r="B118" s="401" t="s">
        <v>2927</v>
      </c>
      <c r="C118" s="402" t="s">
        <v>3680</v>
      </c>
      <c r="D118" s="385">
        <f>+'7. SP Attivo Alim'!F224+'7. SP Attivo Alim'!F225+'7. SP Attivo Alim'!F226+'7. SP Attivo Alim'!F227</f>
        <v>0</v>
      </c>
      <c r="E118" s="385">
        <f>+'7. SP Attivo Alim'!G224+'7. SP Attivo Alim'!G225+'7. SP Attivo Alim'!G226+'7. SP Attivo Alim'!G227</f>
        <v>0</v>
      </c>
      <c r="F118" s="376"/>
      <c r="G118" s="403"/>
    </row>
    <row r="119" spans="1:7" s="215" customFormat="1" ht="24.95" customHeight="1">
      <c r="A119" s="400" t="s">
        <v>1287</v>
      </c>
      <c r="B119" s="401" t="s">
        <v>2933</v>
      </c>
      <c r="C119" s="402" t="s">
        <v>2934</v>
      </c>
      <c r="D119" s="385">
        <f>+'7. SP Attivo Alim'!F229+'7. SP Attivo Alim'!F230</f>
        <v>0</v>
      </c>
      <c r="E119" s="385">
        <f>+'7. SP Attivo Alim'!G229+'7. SP Attivo Alim'!G230</f>
        <v>0</v>
      </c>
      <c r="F119" s="376"/>
      <c r="G119" s="403"/>
    </row>
    <row r="120" spans="1:7" s="215" customFormat="1" ht="24.95" customHeight="1">
      <c r="A120" s="400"/>
      <c r="B120" s="401" t="s">
        <v>2937</v>
      </c>
      <c r="C120" s="402" t="s">
        <v>2938</v>
      </c>
      <c r="D120" s="385">
        <f>+'7. SP Attivo Alim'!F232+'7. SP Attivo Alim'!F233+'7. SP Attivo Alim'!F234+'7. SP Attivo Alim'!F235</f>
        <v>0</v>
      </c>
      <c r="E120" s="385">
        <f>+'7. SP Attivo Alim'!G232+'7. SP Attivo Alim'!G233+'7. SP Attivo Alim'!G234+'7. SP Attivo Alim'!G235</f>
        <v>0</v>
      </c>
      <c r="F120" s="376"/>
      <c r="G120" s="403"/>
    </row>
    <row r="121" spans="1:7" s="215" customFormat="1" ht="24.95" customHeight="1">
      <c r="A121" s="388"/>
      <c r="B121" s="378" t="s">
        <v>2943</v>
      </c>
      <c r="C121" s="379" t="s">
        <v>2944</v>
      </c>
      <c r="D121" s="380">
        <f>+D122+D133+D140+D141</f>
        <v>3952690.59</v>
      </c>
      <c r="E121" s="380">
        <f>+E122+E133+E140+E141</f>
        <v>2046375.92</v>
      </c>
      <c r="F121" s="376"/>
      <c r="G121" s="403"/>
    </row>
    <row r="122" spans="1:7" s="215" customFormat="1" ht="24.95" customHeight="1">
      <c r="A122" s="407"/>
      <c r="B122" s="408" t="s">
        <v>2945</v>
      </c>
      <c r="C122" s="409" t="s">
        <v>2946</v>
      </c>
      <c r="D122" s="410">
        <f>SUM(D123:D132)</f>
        <v>3229778.25</v>
      </c>
      <c r="E122" s="410">
        <f>SUM(E123:E132)</f>
        <v>1323463.58</v>
      </c>
      <c r="F122" s="376"/>
      <c r="G122" s="403"/>
    </row>
    <row r="123" spans="1:7" s="215" customFormat="1" ht="33.75" customHeight="1">
      <c r="A123" s="400" t="s">
        <v>3681</v>
      </c>
      <c r="B123" s="401" t="s">
        <v>2947</v>
      </c>
      <c r="C123" s="402" t="s">
        <v>2948</v>
      </c>
      <c r="D123" s="385">
        <f>+'7. SP Attivo Alim'!F239+'7. SP Attivo Alim'!F240</f>
        <v>0</v>
      </c>
      <c r="E123" s="385">
        <f>+'7. SP Attivo Alim'!G239+'7. SP Attivo Alim'!G240</f>
        <v>0</v>
      </c>
      <c r="F123" s="376"/>
      <c r="G123" s="403"/>
    </row>
    <row r="124" spans="1:7" s="215" customFormat="1" ht="33.75" customHeight="1">
      <c r="A124" s="400" t="s">
        <v>1238</v>
      </c>
      <c r="B124" s="401" t="s">
        <v>2951</v>
      </c>
      <c r="C124" s="402" t="s">
        <v>2952</v>
      </c>
      <c r="D124" s="385">
        <f>+'7. SP Attivo Alim'!F242+'7. SP Attivo Alim'!F243</f>
        <v>0</v>
      </c>
      <c r="E124" s="385">
        <f>+'7. SP Attivo Alim'!G242+'7. SP Attivo Alim'!G243</f>
        <v>0</v>
      </c>
      <c r="F124" s="376"/>
      <c r="G124" s="403"/>
    </row>
    <row r="125" spans="1:7" s="404" customFormat="1" ht="33.75" customHeight="1">
      <c r="A125" s="400" t="s">
        <v>3681</v>
      </c>
      <c r="B125" s="401" t="s">
        <v>2955</v>
      </c>
      <c r="C125" s="411" t="s">
        <v>2956</v>
      </c>
      <c r="D125" s="385">
        <f>+'7. SP Attivo Alim'!F245+'7. SP Attivo Alim'!F246</f>
        <v>0</v>
      </c>
      <c r="E125" s="385">
        <f>+'7. SP Attivo Alim'!G245+'7. SP Attivo Alim'!G246</f>
        <v>0</v>
      </c>
      <c r="F125" s="215"/>
      <c r="G125" s="403"/>
    </row>
    <row r="126" spans="1:7" s="215" customFormat="1" ht="33.75" customHeight="1">
      <c r="A126" s="400" t="s">
        <v>3681</v>
      </c>
      <c r="B126" s="401" t="s">
        <v>2959</v>
      </c>
      <c r="C126" s="402" t="s">
        <v>2960</v>
      </c>
      <c r="D126" s="385">
        <f>+'7. SP Attivo Alim'!F248+'7. SP Attivo Alim'!F249</f>
        <v>0</v>
      </c>
      <c r="E126" s="385">
        <f>+'7. SP Attivo Alim'!G248+'7. SP Attivo Alim'!G249</f>
        <v>0</v>
      </c>
      <c r="F126" s="404"/>
      <c r="G126" s="405"/>
    </row>
    <row r="127" spans="1:7" s="215" customFormat="1" ht="33.75" customHeight="1">
      <c r="A127" s="400" t="s">
        <v>3681</v>
      </c>
      <c r="B127" s="401" t="s">
        <v>2963</v>
      </c>
      <c r="C127" s="402" t="s">
        <v>3682</v>
      </c>
      <c r="D127" s="385">
        <f>+'7. SP Attivo Alim'!F251+'7. SP Attivo Alim'!F252</f>
        <v>0</v>
      </c>
      <c r="E127" s="385">
        <f>+'7. SP Attivo Alim'!G251+'7. SP Attivo Alim'!G252</f>
        <v>0</v>
      </c>
      <c r="F127" s="404"/>
      <c r="G127" s="405"/>
    </row>
    <row r="128" spans="1:7" s="215" customFormat="1" ht="33.75" customHeight="1">
      <c r="A128" s="400" t="s">
        <v>3681</v>
      </c>
      <c r="B128" s="401" t="s">
        <v>2967</v>
      </c>
      <c r="C128" s="402" t="s">
        <v>3683</v>
      </c>
      <c r="D128" s="385">
        <f>+'7. SP Attivo Alim'!F254+'7. SP Attivo Alim'!F255</f>
        <v>0</v>
      </c>
      <c r="E128" s="385">
        <f>+'7. SP Attivo Alim'!G254+'7. SP Attivo Alim'!G255</f>
        <v>0</v>
      </c>
      <c r="F128" s="404"/>
      <c r="G128" s="405"/>
    </row>
    <row r="129" spans="1:7" s="215" customFormat="1" ht="33.75" customHeight="1">
      <c r="A129" s="400" t="s">
        <v>3681</v>
      </c>
      <c r="B129" s="401" t="s">
        <v>2971</v>
      </c>
      <c r="C129" s="402" t="s">
        <v>2972</v>
      </c>
      <c r="D129" s="385">
        <f>+'7. SP Attivo Alim'!F257+'7. SP Attivo Alim'!F258+'7. SP Attivo Alim'!F259+'7. SP Attivo Alim'!F260</f>
        <v>2547087.2999999998</v>
      </c>
      <c r="E129" s="385">
        <f>+'7. SP Attivo Alim'!G257+'7. SP Attivo Alim'!G258+'7. SP Attivo Alim'!G259+'7. SP Attivo Alim'!G260</f>
        <v>686919.67</v>
      </c>
      <c r="F129" s="404"/>
      <c r="G129" s="405"/>
    </row>
    <row r="130" spans="1:7" s="404" customFormat="1" ht="33.75" customHeight="1">
      <c r="A130" s="412" t="s">
        <v>3681</v>
      </c>
      <c r="B130" s="401" t="s">
        <v>2977</v>
      </c>
      <c r="C130" s="411" t="s">
        <v>3684</v>
      </c>
      <c r="D130" s="385">
        <f>+'7. SP Attivo Alim'!F262+'7. SP Attivo Alim'!F263</f>
        <v>0</v>
      </c>
      <c r="E130" s="385">
        <f>+'7. SP Attivo Alim'!G262+'7. SP Attivo Alim'!G263</f>
        <v>0</v>
      </c>
      <c r="G130" s="403"/>
    </row>
    <row r="131" spans="1:7" s="215" customFormat="1" ht="33.75" customHeight="1">
      <c r="A131" s="412" t="s">
        <v>3681</v>
      </c>
      <c r="B131" s="401" t="s">
        <v>2981</v>
      </c>
      <c r="C131" s="411" t="s">
        <v>2982</v>
      </c>
      <c r="D131" s="385">
        <f>+'7. SP Attivo Alim'!F265+'7. SP Attivo Alim'!F266+'7. SP Attivo Alim'!F267+'7. SP Attivo Alim'!F268+'7. SP Attivo Alim'!F269</f>
        <v>682690.95</v>
      </c>
      <c r="E131" s="385">
        <f>+'7. SP Attivo Alim'!G265+'7. SP Attivo Alim'!G266+'7. SP Attivo Alim'!G267+'7. SP Attivo Alim'!G268+'7. SP Attivo Alim'!G269</f>
        <v>636543.91</v>
      </c>
      <c r="F131" s="404"/>
      <c r="G131" s="405"/>
    </row>
    <row r="132" spans="1:7" s="404" customFormat="1" ht="33.75" customHeight="1">
      <c r="A132" s="412" t="s">
        <v>3681</v>
      </c>
      <c r="B132" s="401" t="s">
        <v>2988</v>
      </c>
      <c r="C132" s="411" t="s">
        <v>2989</v>
      </c>
      <c r="D132" s="385">
        <f>+'7. SP Attivo Alim'!F271+'7. SP Attivo Alim'!F272</f>
        <v>0</v>
      </c>
      <c r="E132" s="385">
        <f>+'7. SP Attivo Alim'!G271+'7. SP Attivo Alim'!G272</f>
        <v>0</v>
      </c>
      <c r="G132" s="403"/>
    </row>
    <row r="133" spans="1:7" s="387" customFormat="1" ht="33.75" customHeight="1">
      <c r="A133" s="413"/>
      <c r="B133" s="408" t="s">
        <v>2992</v>
      </c>
      <c r="C133" s="414" t="s">
        <v>2993</v>
      </c>
      <c r="D133" s="410">
        <f>SUM(D134:D139)</f>
        <v>722912.34</v>
      </c>
      <c r="E133" s="410">
        <f>SUM(E134:E139)</f>
        <v>722912.34</v>
      </c>
      <c r="F133" s="415"/>
      <c r="G133" s="416"/>
    </row>
    <row r="134" spans="1:7" s="387" customFormat="1" ht="33.75" customHeight="1">
      <c r="A134" s="417" t="s">
        <v>3681</v>
      </c>
      <c r="B134" s="383" t="s">
        <v>2994</v>
      </c>
      <c r="C134" s="418" t="s">
        <v>2995</v>
      </c>
      <c r="D134" s="385">
        <f>+'7. SP Attivo Alim'!F275+'7. SP Attivo Alim'!F276</f>
        <v>722912.34</v>
      </c>
      <c r="E134" s="385">
        <f>+'7. SP Attivo Alim'!G275+'7. SP Attivo Alim'!G276</f>
        <v>722912.34</v>
      </c>
      <c r="F134" s="415"/>
      <c r="G134" s="416"/>
    </row>
    <row r="135" spans="1:7" s="387" customFormat="1" ht="33.75" customHeight="1">
      <c r="A135" s="417" t="s">
        <v>3681</v>
      </c>
      <c r="B135" s="383" t="s">
        <v>2998</v>
      </c>
      <c r="C135" s="384" t="s">
        <v>2999</v>
      </c>
      <c r="D135" s="385">
        <f>+'7. SP Attivo Alim'!F278+'7. SP Attivo Alim'!F279</f>
        <v>0</v>
      </c>
      <c r="E135" s="385">
        <f>+'7. SP Attivo Alim'!G278+'7. SP Attivo Alim'!G279</f>
        <v>0</v>
      </c>
      <c r="F135" s="415"/>
      <c r="G135" s="416"/>
    </row>
    <row r="136" spans="1:7" s="387" customFormat="1" ht="33.75" customHeight="1">
      <c r="A136" s="417" t="s">
        <v>3681</v>
      </c>
      <c r="B136" s="383" t="s">
        <v>3002</v>
      </c>
      <c r="C136" s="418" t="s">
        <v>3003</v>
      </c>
      <c r="D136" s="385">
        <f>+'7. SP Attivo Alim'!F281+'7. SP Attivo Alim'!F282</f>
        <v>0</v>
      </c>
      <c r="E136" s="385">
        <f>+'7. SP Attivo Alim'!G281+'7. SP Attivo Alim'!G282</f>
        <v>0</v>
      </c>
      <c r="F136" s="415"/>
      <c r="G136" s="416"/>
    </row>
    <row r="137" spans="1:7" s="387" customFormat="1" ht="33.75" customHeight="1">
      <c r="A137" s="412" t="s">
        <v>3681</v>
      </c>
      <c r="B137" s="401" t="s">
        <v>3006</v>
      </c>
      <c r="C137" s="411" t="s">
        <v>3685</v>
      </c>
      <c r="D137" s="385">
        <f>+'7. SP Attivo Alim'!F284</f>
        <v>0</v>
      </c>
      <c r="E137" s="385">
        <f>+'7. SP Attivo Alim'!G284</f>
        <v>0</v>
      </c>
      <c r="F137" s="415"/>
      <c r="G137" s="416"/>
    </row>
    <row r="138" spans="1:7" s="387" customFormat="1" ht="33.75" customHeight="1">
      <c r="A138" s="412" t="s">
        <v>3681</v>
      </c>
      <c r="B138" s="401" t="s">
        <v>3009</v>
      </c>
      <c r="C138" s="411" t="s">
        <v>3010</v>
      </c>
      <c r="D138" s="385">
        <f>+'7. SP Attivo Alim'!F286+'7. SP Attivo Alim'!F287</f>
        <v>0</v>
      </c>
      <c r="E138" s="385">
        <f>+'7. SP Attivo Alim'!G286+'7. SP Attivo Alim'!G287</f>
        <v>0</v>
      </c>
      <c r="F138" s="415"/>
      <c r="G138" s="416"/>
    </row>
    <row r="139" spans="1:7" s="387" customFormat="1" ht="33.75" customHeight="1">
      <c r="A139" s="412" t="s">
        <v>3681</v>
      </c>
      <c r="B139" s="401" t="s">
        <v>3013</v>
      </c>
      <c r="C139" s="411" t="s">
        <v>3686</v>
      </c>
      <c r="D139" s="385">
        <f>+'7. SP Attivo Alim'!F289+'7. SP Attivo Alim'!F290</f>
        <v>0</v>
      </c>
      <c r="E139" s="385">
        <f>+'7. SP Attivo Alim'!G289+'7. SP Attivo Alim'!G290</f>
        <v>0</v>
      </c>
      <c r="F139" s="415"/>
      <c r="G139" s="416"/>
    </row>
    <row r="140" spans="1:7" s="415" customFormat="1" ht="33.75" customHeight="1">
      <c r="A140" s="419"/>
      <c r="B140" s="383" t="s">
        <v>3017</v>
      </c>
      <c r="C140" s="418" t="s">
        <v>3687</v>
      </c>
      <c r="D140" s="385">
        <f>+'7. SP Attivo Alim'!F292</f>
        <v>0</v>
      </c>
      <c r="E140" s="385">
        <f>+'7. SP Attivo Alim'!G292</f>
        <v>0</v>
      </c>
      <c r="G140" s="386"/>
    </row>
    <row r="141" spans="1:7" s="415" customFormat="1" ht="33.75" customHeight="1">
      <c r="A141" s="419" t="s">
        <v>3681</v>
      </c>
      <c r="B141" s="383" t="s">
        <v>3020</v>
      </c>
      <c r="C141" s="418" t="s">
        <v>3688</v>
      </c>
      <c r="D141" s="385">
        <f>+'7. SP Attivo Alim'!F294</f>
        <v>0</v>
      </c>
      <c r="E141" s="385">
        <f>+'7. SP Attivo Alim'!G294</f>
        <v>0</v>
      </c>
      <c r="G141" s="386"/>
    </row>
    <row r="142" spans="1:7" s="387" customFormat="1" ht="24.95" customHeight="1">
      <c r="A142" s="382"/>
      <c r="B142" s="389" t="s">
        <v>3023</v>
      </c>
      <c r="C142" s="390" t="s">
        <v>3024</v>
      </c>
      <c r="D142" s="385">
        <f>+'7. SP Attivo Alim'!F296+'7. SP Attivo Alim'!F297+'7. SP Attivo Alim'!F298+'7. SP Attivo Alim'!F299</f>
        <v>8241</v>
      </c>
      <c r="E142" s="385">
        <f>+'7. SP Attivo Alim'!G296+'7. SP Attivo Alim'!G297+'7. SP Attivo Alim'!G298+'7. SP Attivo Alim'!G299</f>
        <v>7323.14</v>
      </c>
      <c r="F142" s="369"/>
      <c r="G142" s="386"/>
    </row>
    <row r="143" spans="1:7" s="387" customFormat="1" ht="24.95" customHeight="1">
      <c r="A143" s="420"/>
      <c r="B143" s="378" t="s">
        <v>3029</v>
      </c>
      <c r="C143" s="379" t="s">
        <v>3030</v>
      </c>
      <c r="D143" s="380">
        <f>+D144+D148+D149+D150+D151</f>
        <v>144100636.19</v>
      </c>
      <c r="E143" s="380">
        <f>+E144+E148+E149+E150+E151</f>
        <v>48400262.139999993</v>
      </c>
      <c r="F143" s="369"/>
      <c r="G143" s="386"/>
    </row>
    <row r="144" spans="1:7" s="387" customFormat="1" ht="24.95" customHeight="1">
      <c r="A144" s="407"/>
      <c r="B144" s="408" t="s">
        <v>3031</v>
      </c>
      <c r="C144" s="409" t="s">
        <v>3032</v>
      </c>
      <c r="D144" s="410">
        <f>+D145+D146+D147</f>
        <v>144044034.57999998</v>
      </c>
      <c r="E144" s="410">
        <f>+E145+E146+E147</f>
        <v>48242617.679999992</v>
      </c>
      <c r="F144" s="415"/>
      <c r="G144" s="416"/>
    </row>
    <row r="145" spans="1:7" s="387" customFormat="1" ht="24.95" customHeight="1">
      <c r="A145" s="382" t="s">
        <v>1238</v>
      </c>
      <c r="B145" s="383" t="s">
        <v>3033</v>
      </c>
      <c r="C145" s="384" t="s">
        <v>3034</v>
      </c>
      <c r="D145" s="385">
        <f>+'7. SP Attivo Alim'!F303</f>
        <v>0</v>
      </c>
      <c r="E145" s="385">
        <f>+'7. SP Attivo Alim'!G303</f>
        <v>0</v>
      </c>
      <c r="F145" s="415"/>
      <c r="G145" s="416"/>
    </row>
    <row r="146" spans="1:7" s="387" customFormat="1" ht="24.95" customHeight="1">
      <c r="A146" s="400" t="s">
        <v>1238</v>
      </c>
      <c r="B146" s="401" t="s">
        <v>3036</v>
      </c>
      <c r="C146" s="402" t="s">
        <v>3037</v>
      </c>
      <c r="D146" s="385">
        <f>+'7. SP Attivo Alim'!F305+'7. SP Attivo Alim'!F306+'7. SP Attivo Alim'!F307</f>
        <v>0</v>
      </c>
      <c r="E146" s="385">
        <f>+'7. SP Attivo Alim'!G305+'7. SP Attivo Alim'!G306+'7. SP Attivo Alim'!G307</f>
        <v>0</v>
      </c>
      <c r="F146" s="415"/>
      <c r="G146" s="416"/>
    </row>
    <row r="147" spans="1:7" s="387" customFormat="1" ht="24.95" customHeight="1">
      <c r="A147" s="400" t="s">
        <v>1238</v>
      </c>
      <c r="B147" s="401" t="s">
        <v>3041</v>
      </c>
      <c r="C147" s="402" t="s">
        <v>3042</v>
      </c>
      <c r="D147" s="385">
        <f>+'7. SP Attivo Alim'!F309+'7. SP Attivo Alim'!F310+'7. SP Attivo Alim'!F311</f>
        <v>144044034.57999998</v>
      </c>
      <c r="E147" s="385">
        <f>+'7. SP Attivo Alim'!G309+'7. SP Attivo Alim'!G310+'7. SP Attivo Alim'!G311</f>
        <v>48242617.679999992</v>
      </c>
      <c r="F147" s="415"/>
      <c r="G147" s="416"/>
    </row>
    <row r="148" spans="1:7" s="387" customFormat="1" ht="24.95" customHeight="1">
      <c r="A148" s="400" t="s">
        <v>3681</v>
      </c>
      <c r="B148" s="401" t="s">
        <v>3046</v>
      </c>
      <c r="C148" s="402" t="s">
        <v>3047</v>
      </c>
      <c r="D148" s="385">
        <f>+'7. SP Attivo Alim'!F313</f>
        <v>0</v>
      </c>
      <c r="E148" s="385">
        <f>+'7. SP Attivo Alim'!G313</f>
        <v>0</v>
      </c>
      <c r="F148" s="415"/>
      <c r="G148" s="416"/>
    </row>
    <row r="149" spans="1:7" s="387" customFormat="1" ht="26.25" customHeight="1">
      <c r="A149" s="400" t="s">
        <v>3681</v>
      </c>
      <c r="B149" s="401" t="s">
        <v>3049</v>
      </c>
      <c r="C149" s="402" t="s">
        <v>3689</v>
      </c>
      <c r="D149" s="385"/>
      <c r="E149" s="385"/>
      <c r="F149" s="415"/>
      <c r="G149" s="416"/>
    </row>
    <row r="150" spans="1:7" s="387" customFormat="1" ht="24.95" customHeight="1">
      <c r="A150" s="400" t="s">
        <v>1287</v>
      </c>
      <c r="B150" s="401" t="s">
        <v>3053</v>
      </c>
      <c r="C150" s="402" t="s">
        <v>3054</v>
      </c>
      <c r="D150" s="385">
        <f>+'7. SP Attivo Alim'!F317+'7. SP Attivo Alim'!F318+'7. SP Attivo Alim'!F319+'7. SP Attivo Alim'!F320</f>
        <v>56601.61</v>
      </c>
      <c r="E150" s="385">
        <f>+'7. SP Attivo Alim'!G317+'7. SP Attivo Alim'!G318+'7. SP Attivo Alim'!G319+'7. SP Attivo Alim'!G320</f>
        <v>157644.46000000002</v>
      </c>
      <c r="F150" s="415"/>
      <c r="G150" s="416"/>
    </row>
    <row r="151" spans="1:7" s="387" customFormat="1" ht="24.95" customHeight="1">
      <c r="A151" s="412" t="s">
        <v>1238</v>
      </c>
      <c r="B151" s="401" t="s">
        <v>3059</v>
      </c>
      <c r="C151" s="76" t="s">
        <v>3690</v>
      </c>
      <c r="D151" s="385">
        <f>+'7. SP Attivo Alim'!F322</f>
        <v>0</v>
      </c>
      <c r="E151" s="385">
        <f>+'7. SP Attivo Alim'!G322</f>
        <v>0</v>
      </c>
      <c r="F151" s="415"/>
      <c r="G151" s="416"/>
    </row>
    <row r="152" spans="1:7" s="387" customFormat="1" ht="24.95" customHeight="1">
      <c r="A152" s="388"/>
      <c r="B152" s="378" t="s">
        <v>3062</v>
      </c>
      <c r="C152" s="379" t="s">
        <v>3063</v>
      </c>
      <c r="D152" s="380">
        <f>+D153+D154+D155</f>
        <v>0</v>
      </c>
      <c r="E152" s="380">
        <f>+E153+E154+E155</f>
        <v>0</v>
      </c>
      <c r="F152" s="369"/>
      <c r="G152" s="386"/>
    </row>
    <row r="153" spans="1:7" s="387" customFormat="1" ht="24.95" customHeight="1">
      <c r="A153" s="382"/>
      <c r="B153" s="383" t="s">
        <v>3064</v>
      </c>
      <c r="C153" s="384" t="s">
        <v>3065</v>
      </c>
      <c r="D153" s="385">
        <f>+'7. SP Attivo Alim'!F325+'7. SP Attivo Alim'!F326</f>
        <v>0</v>
      </c>
      <c r="E153" s="385">
        <f>+'7. SP Attivo Alim'!G325+'7. SP Attivo Alim'!G326</f>
        <v>0</v>
      </c>
      <c r="F153" s="369"/>
      <c r="G153" s="386"/>
    </row>
    <row r="154" spans="1:7" s="387" customFormat="1" ht="24.95" customHeight="1">
      <c r="A154" s="382"/>
      <c r="B154" s="383" t="s">
        <v>3068</v>
      </c>
      <c r="C154" s="384" t="s">
        <v>3069</v>
      </c>
      <c r="D154" s="385">
        <f>+'7. SP Attivo Alim'!F328+'7. SP Attivo Alim'!F329</f>
        <v>0</v>
      </c>
      <c r="E154" s="385">
        <f>+'7. SP Attivo Alim'!G328+'7. SP Attivo Alim'!G329</f>
        <v>0</v>
      </c>
      <c r="F154" s="369"/>
      <c r="G154" s="386"/>
    </row>
    <row r="155" spans="1:7" s="387" customFormat="1" ht="24.95" customHeight="1">
      <c r="A155" s="382"/>
      <c r="B155" s="383" t="s">
        <v>3072</v>
      </c>
      <c r="C155" s="384" t="s">
        <v>3073</v>
      </c>
      <c r="D155" s="385">
        <f>+'7. SP Attivo Alim'!F331+'7. SP Attivo Alim'!F332+'7. SP Attivo Alim'!F333+'7. SP Attivo Alim'!F334</f>
        <v>0</v>
      </c>
      <c r="E155" s="385">
        <f>+'7. SP Attivo Alim'!G331+'7. SP Attivo Alim'!G332+'7. SP Attivo Alim'!G333+'7. SP Attivo Alim'!G334</f>
        <v>0</v>
      </c>
      <c r="F155" s="369"/>
      <c r="G155" s="386"/>
    </row>
    <row r="156" spans="1:7" s="387" customFormat="1" ht="24.95" customHeight="1">
      <c r="A156" s="382"/>
      <c r="B156" s="389" t="s">
        <v>3078</v>
      </c>
      <c r="C156" s="390" t="s">
        <v>3079</v>
      </c>
      <c r="D156" s="385">
        <f>+'7. SP Attivo Alim'!F336+'7. SP Attivo Alim'!F337+'7. SP Attivo Alim'!F338+'7. SP Attivo Alim'!F339+'7. SP Attivo Alim'!F340+'7. SP Attivo Alim'!F341+'7. SP Attivo Alim'!F342+'7. SP Attivo Alim'!F343</f>
        <v>35876.69</v>
      </c>
      <c r="E156" s="385">
        <f>+'7. SP Attivo Alim'!G336+'7. SP Attivo Alim'!G337+'7. SP Attivo Alim'!G338+'7. SP Attivo Alim'!G339+'7. SP Attivo Alim'!G340+'7. SP Attivo Alim'!G341+'7. SP Attivo Alim'!G342+'7. SP Attivo Alim'!G343</f>
        <v>21079.72</v>
      </c>
      <c r="F156" s="369"/>
      <c r="G156" s="386"/>
    </row>
    <row r="157" spans="1:7" s="387" customFormat="1" ht="24.95" customHeight="1">
      <c r="A157" s="388"/>
      <c r="B157" s="378" t="s">
        <v>3088</v>
      </c>
      <c r="C157" s="379" t="s">
        <v>3089</v>
      </c>
      <c r="D157" s="380">
        <f>+D158+D159+D160+D161+D162+D165</f>
        <v>566464.68999999994</v>
      </c>
      <c r="E157" s="380">
        <f>+E158+E159+E160+E161+E162+E165</f>
        <v>1128287.1999999997</v>
      </c>
      <c r="F157" s="369"/>
      <c r="G157" s="386"/>
    </row>
    <row r="158" spans="1:7" s="387" customFormat="1" ht="24.95" customHeight="1">
      <c r="A158" s="382"/>
      <c r="B158" s="383" t="s">
        <v>3090</v>
      </c>
      <c r="C158" s="384" t="s">
        <v>3091</v>
      </c>
      <c r="D158" s="385">
        <f>+'7. SP Attivo Alim'!F346+'7. SP Attivo Alim'!F347+'7. SP Attivo Alim'!F348+'7. SP Attivo Alim'!F349+'7. SP Attivo Alim'!F350+'7. SP Attivo Alim'!F351</f>
        <v>193340.38</v>
      </c>
      <c r="E158" s="385">
        <f>+'7. SP Attivo Alim'!G346+'7. SP Attivo Alim'!G347+'7. SP Attivo Alim'!G348+'7. SP Attivo Alim'!G349+'7. SP Attivo Alim'!G350+'7. SP Attivo Alim'!G351</f>
        <v>946787.51999999979</v>
      </c>
      <c r="F158" s="369"/>
      <c r="G158" s="386"/>
    </row>
    <row r="159" spans="1:7" s="387" customFormat="1" ht="24.95" customHeight="1">
      <c r="A159" s="382"/>
      <c r="B159" s="383" t="s">
        <v>3098</v>
      </c>
      <c r="C159" s="384" t="s">
        <v>3099</v>
      </c>
      <c r="D159" s="385">
        <f>+'7. SP Attivo Alim'!F353+'7. SP Attivo Alim'!F354</f>
        <v>0</v>
      </c>
      <c r="E159" s="385">
        <f>+'7. SP Attivo Alim'!G353+'7. SP Attivo Alim'!G354</f>
        <v>0</v>
      </c>
      <c r="F159" s="369"/>
      <c r="G159" s="386"/>
    </row>
    <row r="160" spans="1:7" s="387" customFormat="1" ht="24.95" customHeight="1">
      <c r="A160" s="382"/>
      <c r="B160" s="383" t="s">
        <v>3102</v>
      </c>
      <c r="C160" s="384" t="s">
        <v>3103</v>
      </c>
      <c r="D160" s="385">
        <f>+'7. SP Attivo Alim'!F356+'7. SP Attivo Alim'!F357+'7. SP Attivo Alim'!F358+'7. SP Attivo Alim'!F359+'7. SP Attivo Alim'!F360</f>
        <v>264431.73</v>
      </c>
      <c r="E160" s="385">
        <f>+'7. SP Attivo Alim'!G356+'7. SP Attivo Alim'!G357+'7. SP Attivo Alim'!G358+'7. SP Attivo Alim'!G359+'7. SP Attivo Alim'!G360</f>
        <v>150563.21</v>
      </c>
      <c r="F160" s="369"/>
      <c r="G160" s="386"/>
    </row>
    <row r="161" spans="1:7" s="387" customFormat="1" ht="24.95" customHeight="1">
      <c r="A161" s="382"/>
      <c r="B161" s="383" t="s">
        <v>3109</v>
      </c>
      <c r="C161" s="384" t="s">
        <v>3110</v>
      </c>
      <c r="D161" s="385">
        <f>+'7. SP Attivo Alim'!F362+'7. SP Attivo Alim'!F363</f>
        <v>0</v>
      </c>
      <c r="E161" s="385">
        <f>+'7. SP Attivo Alim'!G362+'7. SP Attivo Alim'!G363</f>
        <v>0</v>
      </c>
      <c r="F161" s="369"/>
      <c r="G161" s="386"/>
    </row>
    <row r="162" spans="1:7" s="387" customFormat="1" ht="24.95" customHeight="1">
      <c r="A162" s="407"/>
      <c r="B162" s="408" t="s">
        <v>3113</v>
      </c>
      <c r="C162" s="409" t="s">
        <v>3114</v>
      </c>
      <c r="D162" s="410">
        <f>+D163+D164</f>
        <v>108692.58</v>
      </c>
      <c r="E162" s="410">
        <f>+E163+E164</f>
        <v>30936.47</v>
      </c>
      <c r="F162" s="369"/>
      <c r="G162" s="386"/>
    </row>
    <row r="163" spans="1:7" s="387" customFormat="1" ht="24.95" customHeight="1">
      <c r="A163" s="391"/>
      <c r="B163" s="421" t="s">
        <v>3115</v>
      </c>
      <c r="C163" s="422" t="s">
        <v>3691</v>
      </c>
      <c r="D163" s="385">
        <f>+'7. SP Attivo Alim'!F366+'7. SP Attivo Alim'!F367+'7. SP Attivo Alim'!F368+'7. SP Attivo Alim'!F369+'7. SP Attivo Alim'!F370+'7. SP Attivo Alim'!F371+'7. SP Attivo Alim'!F372+'7. SP Attivo Alim'!F373</f>
        <v>108692.58</v>
      </c>
      <c r="E163" s="385">
        <f>+'7. SP Attivo Alim'!G366+'7. SP Attivo Alim'!G367+'7. SP Attivo Alim'!G368+'7. SP Attivo Alim'!G369+'7. SP Attivo Alim'!G370+'7. SP Attivo Alim'!G371+'7. SP Attivo Alim'!G372+'7. SP Attivo Alim'!G373</f>
        <v>30936.47</v>
      </c>
      <c r="F163" s="369"/>
      <c r="G163" s="386"/>
    </row>
    <row r="164" spans="1:7" s="387" customFormat="1" ht="24.95" customHeight="1">
      <c r="A164" s="382"/>
      <c r="B164" s="423" t="s">
        <v>3125</v>
      </c>
      <c r="C164" s="424" t="s">
        <v>3126</v>
      </c>
      <c r="D164" s="385">
        <f>+'7. SP Attivo Alim'!F375</f>
        <v>0</v>
      </c>
      <c r="E164" s="385">
        <f>+'7. SP Attivo Alim'!G375</f>
        <v>0</v>
      </c>
      <c r="F164" s="369"/>
      <c r="G164" s="386"/>
    </row>
    <row r="165" spans="1:7" s="387" customFormat="1" ht="24.95" customHeight="1">
      <c r="A165" s="407"/>
      <c r="B165" s="425" t="s">
        <v>3128</v>
      </c>
      <c r="C165" s="426" t="s">
        <v>3129</v>
      </c>
      <c r="D165" s="410">
        <f>+D166+D167</f>
        <v>0</v>
      </c>
      <c r="E165" s="410">
        <f>+E166+E167</f>
        <v>0</v>
      </c>
      <c r="F165" s="369"/>
      <c r="G165" s="386"/>
    </row>
    <row r="166" spans="1:7" s="387" customFormat="1" ht="24.95" customHeight="1">
      <c r="A166" s="391"/>
      <c r="B166" s="421" t="s">
        <v>3130</v>
      </c>
      <c r="C166" s="424" t="s">
        <v>3131</v>
      </c>
      <c r="D166" s="385">
        <f>+'7. SP Attivo Alim'!F378</f>
        <v>0</v>
      </c>
      <c r="E166" s="385">
        <f>+'7. SP Attivo Alim'!G378</f>
        <v>0</v>
      </c>
      <c r="F166" s="369"/>
      <c r="G166" s="386"/>
    </row>
    <row r="167" spans="1:7" s="387" customFormat="1" ht="24.95" customHeight="1">
      <c r="A167" s="382"/>
      <c r="B167" s="421" t="s">
        <v>3133</v>
      </c>
      <c r="C167" s="424" t="s">
        <v>3692</v>
      </c>
      <c r="D167" s="385">
        <f>+'7. SP Attivo Alim'!F380</f>
        <v>0</v>
      </c>
      <c r="E167" s="385">
        <f>+'7. SP Attivo Alim'!G380</f>
        <v>0</v>
      </c>
      <c r="F167" s="369"/>
      <c r="G167" s="386"/>
    </row>
    <row r="168" spans="1:7" s="387" customFormat="1" ht="24.95" customHeight="1">
      <c r="A168" s="395"/>
      <c r="B168" s="427" t="s">
        <v>3136</v>
      </c>
      <c r="C168" s="428" t="s">
        <v>3137</v>
      </c>
      <c r="D168" s="429">
        <f>+D169+D170</f>
        <v>0</v>
      </c>
      <c r="E168" s="429">
        <f>+E169+E170</f>
        <v>0</v>
      </c>
      <c r="F168" s="369"/>
      <c r="G168" s="386"/>
    </row>
    <row r="169" spans="1:7" s="387" customFormat="1" ht="24.95" customHeight="1">
      <c r="A169" s="382"/>
      <c r="B169" s="389" t="s">
        <v>3138</v>
      </c>
      <c r="C169" s="390" t="s">
        <v>3139</v>
      </c>
      <c r="D169" s="385">
        <f>+'7. SP Attivo Alim'!F383+'7. SP Attivo Alim'!F384+'7. SP Attivo Alim'!F385</f>
        <v>0</v>
      </c>
      <c r="E169" s="385">
        <f>+'7. SP Attivo Alim'!G383+'7. SP Attivo Alim'!G384+'7. SP Attivo Alim'!G385</f>
        <v>0</v>
      </c>
      <c r="F169" s="369"/>
      <c r="G169" s="386"/>
    </row>
    <row r="170" spans="1:7" s="387" customFormat="1" ht="24.95" customHeight="1" thickBot="1">
      <c r="A170" s="392"/>
      <c r="B170" s="430" t="s">
        <v>3143</v>
      </c>
      <c r="C170" s="431" t="s">
        <v>3144</v>
      </c>
      <c r="D170" s="385">
        <f>+'7. SP Attivo Alim'!F387</f>
        <v>0</v>
      </c>
      <c r="E170" s="385">
        <f>+'7. SP Attivo Alim'!G387</f>
        <v>0</v>
      </c>
      <c r="F170" s="369"/>
      <c r="G170" s="386"/>
    </row>
    <row r="171" spans="1:7" s="387" customFormat="1" ht="24.95" customHeight="1">
      <c r="A171" s="395"/>
      <c r="B171" s="396" t="s">
        <v>3146</v>
      </c>
      <c r="C171" s="397" t="s">
        <v>3147</v>
      </c>
      <c r="D171" s="398">
        <f>+D172+D173+D174+D175</f>
        <v>32808726.25</v>
      </c>
      <c r="E171" s="398">
        <f>+E172+E173+E174+E175</f>
        <v>90475501.199999988</v>
      </c>
      <c r="F171" s="369"/>
      <c r="G171" s="386"/>
    </row>
    <row r="172" spans="1:7" s="387" customFormat="1" ht="24.95" customHeight="1">
      <c r="A172" s="382"/>
      <c r="B172" s="389" t="s">
        <v>3148</v>
      </c>
      <c r="C172" s="390" t="s">
        <v>3149</v>
      </c>
      <c r="D172" s="385">
        <f>+'7. SP Attivo Alim'!F391+'7. SP Attivo Alim'!F392+'7. SP Attivo Alim'!F394+'7. SP Attivo Alim'!F395</f>
        <v>1373.42</v>
      </c>
      <c r="E172" s="385">
        <f>+'7. SP Attivo Alim'!G391+'7. SP Attivo Alim'!G392+'7. SP Attivo Alim'!G394+'7. SP Attivo Alim'!G395</f>
        <v>1393.6</v>
      </c>
      <c r="F172" s="369"/>
      <c r="G172" s="386"/>
    </row>
    <row r="173" spans="1:7" s="387" customFormat="1" ht="24.95" customHeight="1">
      <c r="A173" s="382"/>
      <c r="B173" s="389" t="s">
        <v>3156</v>
      </c>
      <c r="C173" s="390" t="s">
        <v>3157</v>
      </c>
      <c r="D173" s="385">
        <f>+'7. SP Attivo Alim'!F397+'7. SP Attivo Alim'!F398+'7. SP Attivo Alim'!F399+'7. SP Attivo Alim'!F400+'7. SP Attivo Alim'!F401</f>
        <v>32807352.829999998</v>
      </c>
      <c r="E173" s="385">
        <f>+'7. SP Attivo Alim'!G397+'7. SP Attivo Alim'!G398+'7. SP Attivo Alim'!G399+'7. SP Attivo Alim'!G400+'7. SP Attivo Alim'!G401</f>
        <v>90474107.599999994</v>
      </c>
      <c r="F173" s="369"/>
      <c r="G173" s="386"/>
    </row>
    <row r="174" spans="1:7" s="387" customFormat="1" ht="24.95" customHeight="1">
      <c r="A174" s="382"/>
      <c r="B174" s="389" t="s">
        <v>3163</v>
      </c>
      <c r="C174" s="390" t="s">
        <v>3164</v>
      </c>
      <c r="D174" s="385">
        <f>+'7. SP Attivo Alim'!F403</f>
        <v>0</v>
      </c>
      <c r="E174" s="385">
        <f>+'7. SP Attivo Alim'!G403</f>
        <v>0</v>
      </c>
      <c r="F174" s="369"/>
      <c r="G174" s="386"/>
    </row>
    <row r="175" spans="1:7" s="387" customFormat="1" ht="24.95" customHeight="1" thickBot="1">
      <c r="A175" s="392"/>
      <c r="B175" s="430" t="s">
        <v>3166</v>
      </c>
      <c r="C175" s="431" t="s">
        <v>3167</v>
      </c>
      <c r="D175" s="385">
        <f>+'7. SP Attivo Alim'!F405+'7. SP Attivo Alim'!F406+'7. SP Attivo Alim'!F407+'7. SP Attivo Alim'!F408+'7. SP Attivo Alim'!F409+'7. SP Attivo Alim'!F411+'7. SP Attivo Alim'!F412+'7. SP Attivo Alim'!F413+'7. SP Attivo Alim'!F414+'7. SP Attivo Alim'!F415+'7. SP Attivo Alim'!F416+'7. SP Attivo Alim'!F417+'7. SP Attivo Alim'!F418+'7. SP Attivo Alim'!F419+'7. SP Attivo Alim'!F420+'7. SP Attivo Alim'!F421+'7. SP Attivo Alim'!F422</f>
        <v>0</v>
      </c>
      <c r="E175" s="385">
        <f>+'7. SP Attivo Alim'!G405+'7. SP Attivo Alim'!G406+'7. SP Attivo Alim'!G407+'7. SP Attivo Alim'!G408+'7. SP Attivo Alim'!G409+'7. SP Attivo Alim'!G411+'7. SP Attivo Alim'!G412+'7. SP Attivo Alim'!G413+'7. SP Attivo Alim'!G414+'7. SP Attivo Alim'!G415+'7. SP Attivo Alim'!G416+'7. SP Attivo Alim'!G417+'7. SP Attivo Alim'!G418+'7. SP Attivo Alim'!G419+'7. SP Attivo Alim'!G420+'7. SP Attivo Alim'!G421+'7. SP Attivo Alim'!G422</f>
        <v>0</v>
      </c>
      <c r="F175" s="369"/>
      <c r="G175" s="386"/>
    </row>
    <row r="176" spans="1:7" s="387" customFormat="1" ht="24.95" customHeight="1">
      <c r="A176" s="365"/>
      <c r="B176" s="366" t="s">
        <v>3186</v>
      </c>
      <c r="C176" s="367" t="s">
        <v>3187</v>
      </c>
      <c r="D176" s="399">
        <f>+D177+D180</f>
        <v>1841598.81</v>
      </c>
      <c r="E176" s="399">
        <f>+E177+E180</f>
        <v>1307749.99</v>
      </c>
      <c r="F176" s="369"/>
      <c r="G176" s="386"/>
    </row>
    <row r="177" spans="1:11" s="387" customFormat="1" ht="24.95" customHeight="1">
      <c r="A177" s="372"/>
      <c r="B177" s="373" t="s">
        <v>3188</v>
      </c>
      <c r="C177" s="374" t="s">
        <v>3189</v>
      </c>
      <c r="D177" s="375">
        <f>+D178+D179</f>
        <v>0</v>
      </c>
      <c r="E177" s="375">
        <f>+E178+E179</f>
        <v>0</v>
      </c>
      <c r="F177" s="369"/>
      <c r="G177" s="386"/>
    </row>
    <row r="178" spans="1:11" s="387" customFormat="1" ht="24.95" customHeight="1">
      <c r="A178" s="382"/>
      <c r="B178" s="389" t="s">
        <v>3190</v>
      </c>
      <c r="C178" s="390" t="s">
        <v>3191</v>
      </c>
      <c r="D178" s="385">
        <f>+'7. SP Attivo Alim'!F426</f>
        <v>0</v>
      </c>
      <c r="E178" s="385">
        <f>+'7. SP Attivo Alim'!G426</f>
        <v>0</v>
      </c>
      <c r="F178" s="369"/>
      <c r="G178" s="386"/>
    </row>
    <row r="179" spans="1:11" s="387" customFormat="1" ht="24.95" customHeight="1">
      <c r="A179" s="432" t="s">
        <v>1238</v>
      </c>
      <c r="B179" s="389" t="s">
        <v>3193</v>
      </c>
      <c r="C179" s="390" t="s">
        <v>3194</v>
      </c>
      <c r="D179" s="385">
        <f>+'7. SP Attivo Alim'!F428</f>
        <v>0</v>
      </c>
      <c r="E179" s="385">
        <f>+'7. SP Attivo Alim'!G428</f>
        <v>0</v>
      </c>
      <c r="F179" s="369"/>
      <c r="G179" s="386"/>
    </row>
    <row r="180" spans="1:11" s="387" customFormat="1" ht="24.95" customHeight="1">
      <c r="A180" s="372"/>
      <c r="B180" s="373" t="s">
        <v>3196</v>
      </c>
      <c r="C180" s="374" t="s">
        <v>3197</v>
      </c>
      <c r="D180" s="375">
        <f>+D181+D182</f>
        <v>1841598.81</v>
      </c>
      <c r="E180" s="375">
        <f>+E181+E182</f>
        <v>1307749.99</v>
      </c>
      <c r="F180" s="369"/>
      <c r="G180" s="386"/>
    </row>
    <row r="181" spans="1:11" s="387" customFormat="1" ht="24.95" customHeight="1">
      <c r="A181" s="382"/>
      <c r="B181" s="389" t="s">
        <v>3198</v>
      </c>
      <c r="C181" s="390" t="s">
        <v>3199</v>
      </c>
      <c r="D181" s="385">
        <f>+'7. SP Attivo Alim'!F431</f>
        <v>1841598.81</v>
      </c>
      <c r="E181" s="385">
        <f>+'7. SP Attivo Alim'!G431</f>
        <v>1307749.99</v>
      </c>
      <c r="F181" s="369"/>
      <c r="G181" s="386"/>
    </row>
    <row r="182" spans="1:11" s="387" customFormat="1" ht="24.95" customHeight="1" thickBot="1">
      <c r="A182" s="433" t="s">
        <v>1238</v>
      </c>
      <c r="B182" s="430" t="s">
        <v>3201</v>
      </c>
      <c r="C182" s="431" t="s">
        <v>3202</v>
      </c>
      <c r="D182" s="385">
        <f>+'7. SP Attivo Alim'!F433</f>
        <v>0</v>
      </c>
      <c r="E182" s="385">
        <f>+'7. SP Attivo Alim'!G433</f>
        <v>0</v>
      </c>
      <c r="F182" s="369"/>
      <c r="G182" s="386"/>
    </row>
    <row r="183" spans="1:11" s="387" customFormat="1" ht="24.95" customHeight="1" thickBot="1">
      <c r="A183" s="434"/>
      <c r="B183" s="435" t="s">
        <v>3204</v>
      </c>
      <c r="C183" s="436" t="s">
        <v>3205</v>
      </c>
      <c r="D183" s="437">
        <f>+D6+D84+D176</f>
        <v>249702444.94999999</v>
      </c>
      <c r="E183" s="437">
        <f>+E6+E84+E176</f>
        <v>197485657.72</v>
      </c>
      <c r="F183" s="369"/>
      <c r="G183" s="386"/>
      <c r="K183" s="706">
        <f>+D183-D316</f>
        <v>-3.5998821258544922E-3</v>
      </c>
    </row>
    <row r="184" spans="1:11" s="387" customFormat="1" ht="24.95" customHeight="1">
      <c r="A184" s="438"/>
      <c r="B184" s="366" t="s">
        <v>3206</v>
      </c>
      <c r="C184" s="439" t="s">
        <v>3207</v>
      </c>
      <c r="D184" s="440">
        <f>+D185+D186+D187+D188+D189</f>
        <v>347396.87</v>
      </c>
      <c r="E184" s="440">
        <f>+E185+E186+E187+E188+E189</f>
        <v>347396.87</v>
      </c>
      <c r="F184" s="369"/>
      <c r="G184" s="386"/>
    </row>
    <row r="185" spans="1:11" s="387" customFormat="1" ht="24.95" customHeight="1">
      <c r="A185" s="382"/>
      <c r="B185" s="441" t="s">
        <v>3208</v>
      </c>
      <c r="C185" s="442" t="s">
        <v>3209</v>
      </c>
      <c r="D185" s="385">
        <f>+'7. SP Attivo Alim'!F437</f>
        <v>0</v>
      </c>
      <c r="E185" s="385">
        <f>+'7. SP Attivo Alim'!G437</f>
        <v>0</v>
      </c>
      <c r="F185" s="369"/>
      <c r="G185" s="386"/>
    </row>
    <row r="186" spans="1:11" s="387" customFormat="1" ht="24.95" customHeight="1">
      <c r="A186" s="382"/>
      <c r="B186" s="441" t="s">
        <v>3211</v>
      </c>
      <c r="C186" s="442" t="s">
        <v>3212</v>
      </c>
      <c r="D186" s="385">
        <f>+'7. SP Attivo Alim'!F439</f>
        <v>0</v>
      </c>
      <c r="E186" s="385">
        <f>+'7. SP Attivo Alim'!G439</f>
        <v>0</v>
      </c>
      <c r="F186" s="369"/>
      <c r="G186" s="386"/>
    </row>
    <row r="187" spans="1:11" s="387" customFormat="1" ht="24.95" customHeight="1">
      <c r="A187" s="382"/>
      <c r="B187" s="441" t="s">
        <v>3214</v>
      </c>
      <c r="C187" s="442" t="s">
        <v>3215</v>
      </c>
      <c r="D187" s="385">
        <f>+'7. SP Attivo Alim'!F441</f>
        <v>347396.87</v>
      </c>
      <c r="E187" s="385">
        <f>+'7. SP Attivo Alim'!G441</f>
        <v>347396.87</v>
      </c>
      <c r="F187" s="369"/>
      <c r="G187" s="386"/>
    </row>
    <row r="188" spans="1:11" s="387" customFormat="1" ht="24.95" customHeight="1">
      <c r="A188" s="443"/>
      <c r="B188" s="441" t="s">
        <v>3217</v>
      </c>
      <c r="C188" s="442" t="s">
        <v>3218</v>
      </c>
      <c r="D188" s="385">
        <f>+'7. SP Attivo Alim'!F443</f>
        <v>0</v>
      </c>
      <c r="E188" s="385">
        <f>+'7. SP Attivo Alim'!G443</f>
        <v>0</v>
      </c>
      <c r="F188" s="369"/>
      <c r="G188" s="386"/>
    </row>
    <row r="189" spans="1:11" s="387" customFormat="1" ht="24.95" customHeight="1" thickBot="1">
      <c r="A189" s="392"/>
      <c r="B189" s="444" t="s">
        <v>3220</v>
      </c>
      <c r="C189" s="445" t="s">
        <v>3221</v>
      </c>
      <c r="D189" s="385">
        <f>+'7. SP Attivo Alim'!F445+'7. SP Attivo Alim'!F446+'7. SP Attivo Alim'!F447+'7. SP Attivo Alim'!F448+'7. SP Attivo Alim'!F449</f>
        <v>0</v>
      </c>
      <c r="E189" s="385">
        <f>+'7. SP Attivo Alim'!G445+'7. SP Attivo Alim'!G446+'7. SP Attivo Alim'!G447+'7. SP Attivo Alim'!G448+'7. SP Attivo Alim'!G449</f>
        <v>0</v>
      </c>
      <c r="F189" s="369"/>
      <c r="G189" s="386"/>
    </row>
    <row r="190" spans="1:11" s="387" customFormat="1" ht="24.95" customHeight="1">
      <c r="A190" s="438"/>
      <c r="B190" s="366" t="s">
        <v>3229</v>
      </c>
      <c r="C190" s="367" t="s">
        <v>3230</v>
      </c>
      <c r="D190" s="399">
        <f>+D191+D192+D201+D202+D208+D212+D213</f>
        <v>7340658.0799999088</v>
      </c>
      <c r="E190" s="399">
        <f>+E191+E192+E201+E202+E208+E212+E213</f>
        <v>4548600.0600000564</v>
      </c>
      <c r="F190" s="369"/>
      <c r="G190" s="386"/>
    </row>
    <row r="191" spans="1:11" s="387" customFormat="1" ht="24.95" customHeight="1">
      <c r="A191" s="382"/>
      <c r="B191" s="446" t="s">
        <v>3231</v>
      </c>
      <c r="C191" s="447" t="s">
        <v>3232</v>
      </c>
      <c r="D191" s="385">
        <f>+'8. Alimentazione SP P'!F5</f>
        <v>0</v>
      </c>
      <c r="E191" s="385">
        <f>+'8. Alimentazione SP P'!G5</f>
        <v>0</v>
      </c>
      <c r="F191" s="369"/>
      <c r="G191" s="386"/>
    </row>
    <row r="192" spans="1:11" s="387" customFormat="1" ht="24.95" customHeight="1">
      <c r="A192" s="372"/>
      <c r="B192" s="373" t="s">
        <v>3234</v>
      </c>
      <c r="C192" s="374" t="s">
        <v>3235</v>
      </c>
      <c r="D192" s="375">
        <f>+D193+D194+D198+D199+D200</f>
        <v>808959.73</v>
      </c>
      <c r="E192" s="375">
        <f>+E193+E194+E198+E199+E200</f>
        <v>891863.17999999993</v>
      </c>
      <c r="F192" s="369"/>
      <c r="G192" s="386"/>
    </row>
    <row r="193" spans="1:7" s="387" customFormat="1" ht="24.95" customHeight="1">
      <c r="A193" s="382"/>
      <c r="B193" s="389" t="s">
        <v>3236</v>
      </c>
      <c r="C193" s="390" t="s">
        <v>3237</v>
      </c>
      <c r="D193" s="385">
        <f>+'8. Alimentazione SP P'!F8</f>
        <v>0</v>
      </c>
      <c r="E193" s="385">
        <f>+'8. Alimentazione SP P'!G8</f>
        <v>0</v>
      </c>
      <c r="F193" s="369"/>
      <c r="G193" s="386"/>
    </row>
    <row r="194" spans="1:7" s="387" customFormat="1" ht="24.95" customHeight="1">
      <c r="A194" s="388"/>
      <c r="B194" s="378" t="s">
        <v>3239</v>
      </c>
      <c r="C194" s="379" t="s">
        <v>3240</v>
      </c>
      <c r="D194" s="380">
        <f>+D195+D196+D197</f>
        <v>0</v>
      </c>
      <c r="E194" s="380">
        <f>+E195+E196+E197</f>
        <v>0</v>
      </c>
      <c r="F194" s="369"/>
      <c r="G194" s="386"/>
    </row>
    <row r="195" spans="1:7" s="387" customFormat="1" ht="24.95" customHeight="1">
      <c r="A195" s="382"/>
      <c r="B195" s="383" t="s">
        <v>3241</v>
      </c>
      <c r="C195" s="384" t="s">
        <v>3242</v>
      </c>
      <c r="D195" s="385">
        <f>+'8. Alimentazione SP P'!F11</f>
        <v>0</v>
      </c>
      <c r="E195" s="385">
        <f>+'8. Alimentazione SP P'!G11</f>
        <v>0</v>
      </c>
      <c r="F195" s="369"/>
      <c r="G195" s="386"/>
    </row>
    <row r="196" spans="1:7" s="387" customFormat="1" ht="24.95" customHeight="1">
      <c r="A196" s="382"/>
      <c r="B196" s="383" t="s">
        <v>3244</v>
      </c>
      <c r="C196" s="384" t="s">
        <v>3245</v>
      </c>
      <c r="D196" s="385">
        <f>+'8. Alimentazione SP P'!F13</f>
        <v>0</v>
      </c>
      <c r="E196" s="385">
        <f>+'8. Alimentazione SP P'!G13</f>
        <v>0</v>
      </c>
      <c r="F196" s="369"/>
      <c r="G196" s="386"/>
    </row>
    <row r="197" spans="1:7" s="387" customFormat="1" ht="24.95" customHeight="1">
      <c r="A197" s="382"/>
      <c r="B197" s="383" t="s">
        <v>3247</v>
      </c>
      <c r="C197" s="384" t="s">
        <v>3248</v>
      </c>
      <c r="D197" s="385">
        <f>+'8. Alimentazione SP P'!F15</f>
        <v>0</v>
      </c>
      <c r="E197" s="385">
        <f>+'8. Alimentazione SP P'!G15</f>
        <v>0</v>
      </c>
      <c r="F197" s="369"/>
      <c r="G197" s="386"/>
    </row>
    <row r="198" spans="1:7" s="387" customFormat="1" ht="24.95" customHeight="1">
      <c r="A198" s="382"/>
      <c r="B198" s="389" t="s">
        <v>3250</v>
      </c>
      <c r="C198" s="390" t="s">
        <v>3251</v>
      </c>
      <c r="D198" s="385">
        <f>+'8. Alimentazione SP P'!F17+'8. Alimentazione SP P'!F18</f>
        <v>807077.27</v>
      </c>
      <c r="E198" s="385">
        <f>+'8. Alimentazione SP P'!G17+'8. Alimentazione SP P'!G18</f>
        <v>889980.72</v>
      </c>
      <c r="F198" s="369"/>
      <c r="G198" s="386"/>
    </row>
    <row r="199" spans="1:7" s="387" customFormat="1" ht="24.95" customHeight="1">
      <c r="A199" s="382"/>
      <c r="B199" s="389" t="s">
        <v>3254</v>
      </c>
      <c r="C199" s="390" t="s">
        <v>3255</v>
      </c>
      <c r="D199" s="385">
        <f>+'8. Alimentazione SP P'!F20+'8. Alimentazione SP P'!F21</f>
        <v>1882.46</v>
      </c>
      <c r="E199" s="385">
        <f>+'8. Alimentazione SP P'!G20+'8. Alimentazione SP P'!G21</f>
        <v>1882.46</v>
      </c>
      <c r="F199" s="369"/>
      <c r="G199" s="386"/>
    </row>
    <row r="200" spans="1:7" s="387" customFormat="1" ht="24.95" customHeight="1">
      <c r="A200" s="382"/>
      <c r="B200" s="389" t="s">
        <v>3258</v>
      </c>
      <c r="C200" s="390" t="s">
        <v>3259</v>
      </c>
      <c r="D200" s="385">
        <f>+'8. Alimentazione SP P'!F23</f>
        <v>0</v>
      </c>
      <c r="E200" s="385">
        <f>+'8. Alimentazione SP P'!G23</f>
        <v>0</v>
      </c>
      <c r="F200" s="369"/>
      <c r="G200" s="386"/>
    </row>
    <row r="201" spans="1:7" s="387" customFormat="1" ht="24.95" customHeight="1">
      <c r="A201" s="382"/>
      <c r="B201" s="446" t="s">
        <v>3261</v>
      </c>
      <c r="C201" s="447" t="s">
        <v>3262</v>
      </c>
      <c r="D201" s="385">
        <f>+'8. Alimentazione SP P'!F25</f>
        <v>0</v>
      </c>
      <c r="E201" s="385">
        <f>+'8. Alimentazione SP P'!G25</f>
        <v>0</v>
      </c>
      <c r="F201" s="369"/>
      <c r="G201" s="386"/>
    </row>
    <row r="202" spans="1:7" s="387" customFormat="1" ht="24.95" customHeight="1">
      <c r="A202" s="372"/>
      <c r="B202" s="373" t="s">
        <v>3264</v>
      </c>
      <c r="C202" s="374" t="s">
        <v>3265</v>
      </c>
      <c r="D202" s="375">
        <f>+D203+D204+D205+D206+D207</f>
        <v>3656736.88</v>
      </c>
      <c r="E202" s="375">
        <f>+E203+E204+E205+E206+E207</f>
        <v>2223960.6799999997</v>
      </c>
      <c r="F202" s="369"/>
      <c r="G202" s="386"/>
    </row>
    <row r="203" spans="1:7" s="387" customFormat="1" ht="24.95" customHeight="1">
      <c r="A203" s="382"/>
      <c r="B203" s="389" t="s">
        <v>3266</v>
      </c>
      <c r="C203" s="390" t="s">
        <v>3267</v>
      </c>
      <c r="D203" s="385">
        <f>+'8. Alimentazione SP P'!F28</f>
        <v>0</v>
      </c>
      <c r="E203" s="385">
        <f>+'8. Alimentazione SP P'!G28</f>
        <v>0</v>
      </c>
      <c r="F203" s="369"/>
      <c r="G203" s="386"/>
    </row>
    <row r="204" spans="1:7" s="387" customFormat="1" ht="24.95" customHeight="1">
      <c r="A204" s="382"/>
      <c r="B204" s="389" t="s">
        <v>3269</v>
      </c>
      <c r="C204" s="390" t="s">
        <v>3270</v>
      </c>
      <c r="D204" s="385">
        <f>+'8. Alimentazione SP P'!F30</f>
        <v>0</v>
      </c>
      <c r="E204" s="385">
        <f>+'8. Alimentazione SP P'!G30</f>
        <v>0</v>
      </c>
      <c r="F204" s="369"/>
      <c r="G204" s="386"/>
    </row>
    <row r="205" spans="1:7" s="387" customFormat="1" ht="24.95" customHeight="1">
      <c r="A205" s="382"/>
      <c r="B205" s="389" t="s">
        <v>3272</v>
      </c>
      <c r="C205" s="390" t="s">
        <v>3273</v>
      </c>
      <c r="D205" s="385">
        <f>+'8. Alimentazione SP P'!F32</f>
        <v>0</v>
      </c>
      <c r="E205" s="385">
        <f>+'8. Alimentazione SP P'!G32</f>
        <v>0</v>
      </c>
      <c r="F205" s="369"/>
      <c r="G205" s="386"/>
    </row>
    <row r="206" spans="1:7" s="387" customFormat="1" ht="24.95" customHeight="1">
      <c r="A206" s="382"/>
      <c r="B206" s="389" t="s">
        <v>3275</v>
      </c>
      <c r="C206" s="390" t="s">
        <v>3276</v>
      </c>
      <c r="D206" s="385">
        <f>+'8. Alimentazione SP P'!F34</f>
        <v>3642805.73</v>
      </c>
      <c r="E206" s="385">
        <f>+'8. Alimentazione SP P'!G34</f>
        <v>2210029.5299999998</v>
      </c>
      <c r="F206" s="369"/>
      <c r="G206" s="386"/>
    </row>
    <row r="207" spans="1:7" s="387" customFormat="1" ht="24.95" customHeight="1">
      <c r="A207" s="382"/>
      <c r="B207" s="389" t="s">
        <v>3278</v>
      </c>
      <c r="C207" s="390" t="s">
        <v>3279</v>
      </c>
      <c r="D207" s="385">
        <f>+'8. Alimentazione SP P'!F36</f>
        <v>13931.15</v>
      </c>
      <c r="E207" s="385">
        <f>+'8. Alimentazione SP P'!G36</f>
        <v>13931.15</v>
      </c>
      <c r="F207" s="369"/>
      <c r="G207" s="386"/>
    </row>
    <row r="208" spans="1:7" s="387" customFormat="1" ht="24.95" customHeight="1">
      <c r="A208" s="372"/>
      <c r="B208" s="373" t="s">
        <v>3281</v>
      </c>
      <c r="C208" s="374" t="s">
        <v>3282</v>
      </c>
      <c r="D208" s="375">
        <f>+D209+D210+D211</f>
        <v>0</v>
      </c>
      <c r="E208" s="375">
        <f>+E209+E210+E211</f>
        <v>0</v>
      </c>
      <c r="F208" s="369"/>
      <c r="G208" s="386"/>
    </row>
    <row r="209" spans="1:7" s="387" customFormat="1" ht="24.95" customHeight="1">
      <c r="A209" s="382"/>
      <c r="B209" s="389" t="s">
        <v>3283</v>
      </c>
      <c r="C209" s="390" t="s">
        <v>3284</v>
      </c>
      <c r="D209" s="385">
        <f>+'8. Alimentazione SP P'!F39</f>
        <v>0</v>
      </c>
      <c r="E209" s="385">
        <f>+'8. Alimentazione SP P'!G39</f>
        <v>0</v>
      </c>
      <c r="F209" s="369"/>
      <c r="G209" s="386"/>
    </row>
    <row r="210" spans="1:7" s="387" customFormat="1" ht="24.95" customHeight="1">
      <c r="A210" s="382"/>
      <c r="B210" s="389" t="s">
        <v>3286</v>
      </c>
      <c r="C210" s="390" t="s">
        <v>3287</v>
      </c>
      <c r="D210" s="385">
        <f>+'8. Alimentazione SP P'!F41</f>
        <v>0</v>
      </c>
      <c r="E210" s="385">
        <f>+'8. Alimentazione SP P'!G41</f>
        <v>0</v>
      </c>
      <c r="F210" s="369"/>
      <c r="G210" s="386"/>
    </row>
    <row r="211" spans="1:7" s="387" customFormat="1" ht="24.95" customHeight="1">
      <c r="A211" s="382"/>
      <c r="B211" s="389" t="s">
        <v>3289</v>
      </c>
      <c r="C211" s="390" t="s">
        <v>3290</v>
      </c>
      <c r="D211" s="385">
        <f>+'8. Alimentazione SP P'!F43</f>
        <v>0</v>
      </c>
      <c r="E211" s="385">
        <f>+'8. Alimentazione SP P'!G43</f>
        <v>0</v>
      </c>
      <c r="F211" s="369"/>
      <c r="G211" s="386"/>
    </row>
    <row r="212" spans="1:7" s="387" customFormat="1" ht="24.95" customHeight="1">
      <c r="A212" s="382"/>
      <c r="B212" s="446" t="s">
        <v>3292</v>
      </c>
      <c r="C212" s="447" t="s">
        <v>3293</v>
      </c>
      <c r="D212" s="385">
        <f>+'8. Alimentazione SP P'!F45</f>
        <v>0</v>
      </c>
      <c r="E212" s="385">
        <f>+'8. Alimentazione SP P'!G45</f>
        <v>0</v>
      </c>
      <c r="F212" s="369"/>
      <c r="G212" s="386"/>
    </row>
    <row r="213" spans="1:7" s="387" customFormat="1" ht="24.95" customHeight="1" thickBot="1">
      <c r="A213" s="392"/>
      <c r="B213" s="448" t="s">
        <v>3295</v>
      </c>
      <c r="C213" s="449" t="s">
        <v>3296</v>
      </c>
      <c r="D213" s="385">
        <f>+'8. Alimentazione SP P'!F47</f>
        <v>2874961.4699999094</v>
      </c>
      <c r="E213" s="385">
        <f>+'8. Alimentazione SP P'!G47</f>
        <v>1432776.200000057</v>
      </c>
      <c r="F213" s="369"/>
      <c r="G213" s="386"/>
    </row>
    <row r="214" spans="1:7" s="387" customFormat="1" ht="24.95" customHeight="1">
      <c r="A214" s="365"/>
      <c r="B214" s="366" t="s">
        <v>3298</v>
      </c>
      <c r="C214" s="367" t="s">
        <v>3299</v>
      </c>
      <c r="D214" s="399">
        <f>+D215+D216+D224+D233+D239</f>
        <v>72214520.24000001</v>
      </c>
      <c r="E214" s="399">
        <f>+E215+E216+E224+E233+E239</f>
        <v>52494190.140000001</v>
      </c>
      <c r="F214" s="369"/>
      <c r="G214" s="386"/>
    </row>
    <row r="215" spans="1:7" s="387" customFormat="1" ht="24.95" customHeight="1">
      <c r="A215" s="382"/>
      <c r="B215" s="446" t="s">
        <v>3300</v>
      </c>
      <c r="C215" s="447" t="s">
        <v>3301</v>
      </c>
      <c r="D215" s="385">
        <f>+'8. Alimentazione SP P'!F50</f>
        <v>0</v>
      </c>
      <c r="E215" s="385">
        <f>+'8. Alimentazione SP P'!G50</f>
        <v>0</v>
      </c>
      <c r="F215" s="369"/>
      <c r="G215" s="386"/>
    </row>
    <row r="216" spans="1:7" s="387" customFormat="1" ht="24.95" customHeight="1">
      <c r="A216" s="372"/>
      <c r="B216" s="373" t="s">
        <v>3303</v>
      </c>
      <c r="C216" s="374" t="s">
        <v>3304</v>
      </c>
      <c r="D216" s="375">
        <f>SUM(D217:D223)</f>
        <v>50103982.149999999</v>
      </c>
      <c r="E216" s="375">
        <f>SUM(E217:E223)</f>
        <v>50135308.07</v>
      </c>
      <c r="F216" s="369"/>
      <c r="G216" s="386"/>
    </row>
    <row r="217" spans="1:7" s="387" customFormat="1" ht="24.95" customHeight="1">
      <c r="A217" s="382"/>
      <c r="B217" s="389" t="s">
        <v>3305</v>
      </c>
      <c r="C217" s="390" t="s">
        <v>3306</v>
      </c>
      <c r="D217" s="385">
        <f>+'8. Alimentazione SP P'!F53</f>
        <v>92391</v>
      </c>
      <c r="E217" s="385">
        <f>+'8. Alimentazione SP P'!G53</f>
        <v>1827396.7</v>
      </c>
      <c r="F217" s="369"/>
      <c r="G217" s="386"/>
    </row>
    <row r="218" spans="1:7" s="387" customFormat="1" ht="24.95" customHeight="1">
      <c r="A218" s="382"/>
      <c r="B218" s="389" t="s">
        <v>3308</v>
      </c>
      <c r="C218" s="390" t="s">
        <v>3309</v>
      </c>
      <c r="D218" s="385">
        <f>+'8. Alimentazione SP P'!F55</f>
        <v>0</v>
      </c>
      <c r="E218" s="385">
        <f>+'8. Alimentazione SP P'!G55</f>
        <v>0</v>
      </c>
      <c r="F218" s="369"/>
      <c r="G218" s="386"/>
    </row>
    <row r="219" spans="1:7" s="387" customFormat="1" ht="24.95" customHeight="1">
      <c r="A219" s="382"/>
      <c r="B219" s="389" t="s">
        <v>3311</v>
      </c>
      <c r="C219" s="390" t="s">
        <v>3312</v>
      </c>
      <c r="D219" s="385">
        <f>+'8. Alimentazione SP P'!F57</f>
        <v>0</v>
      </c>
      <c r="E219" s="385">
        <f>+'8. Alimentazione SP P'!G57</f>
        <v>0</v>
      </c>
      <c r="F219" s="369"/>
      <c r="G219" s="386"/>
    </row>
    <row r="220" spans="1:7" s="387" customFormat="1" ht="24.95" customHeight="1">
      <c r="A220" s="382"/>
      <c r="B220" s="389" t="s">
        <v>3314</v>
      </c>
      <c r="C220" s="390" t="s">
        <v>3315</v>
      </c>
      <c r="D220" s="385">
        <f>+'8. Alimentazione SP P'!F59</f>
        <v>0</v>
      </c>
      <c r="E220" s="385">
        <f>+'8. Alimentazione SP P'!G59</f>
        <v>0</v>
      </c>
      <c r="F220" s="369"/>
      <c r="G220" s="386"/>
    </row>
    <row r="221" spans="1:7" s="387" customFormat="1" ht="24.95" customHeight="1">
      <c r="A221" s="382"/>
      <c r="B221" s="450" t="s">
        <v>3317</v>
      </c>
      <c r="C221" s="451" t="s">
        <v>3318</v>
      </c>
      <c r="D221" s="385">
        <f>+'8. Alimentazione SP P'!F61</f>
        <v>48835650.82</v>
      </c>
      <c r="E221" s="385">
        <f>+'8. Alimentazione SP P'!G61</f>
        <v>48131971.039999999</v>
      </c>
      <c r="F221" s="369"/>
      <c r="G221" s="386"/>
    </row>
    <row r="222" spans="1:7" s="387" customFormat="1" ht="24.95" customHeight="1">
      <c r="A222" s="382"/>
      <c r="B222" s="450" t="s">
        <v>3320</v>
      </c>
      <c r="C222" s="451" t="s">
        <v>3321</v>
      </c>
      <c r="D222" s="385">
        <f>+'8. Alimentazione SP P'!F63</f>
        <v>1175940.33</v>
      </c>
      <c r="E222" s="385">
        <f>+'8. Alimentazione SP P'!G63</f>
        <v>175940.33</v>
      </c>
      <c r="F222" s="369"/>
      <c r="G222" s="386"/>
    </row>
    <row r="223" spans="1:7" s="387" customFormat="1" ht="24.95" customHeight="1">
      <c r="A223" s="382"/>
      <c r="B223" s="450" t="s">
        <v>3323</v>
      </c>
      <c r="C223" s="451" t="s">
        <v>3324</v>
      </c>
      <c r="D223" s="385">
        <f>+'8. Alimentazione SP P'!F65+'8. Alimentazione SP P'!F66+'8. Alimentazione SP P'!F67</f>
        <v>0</v>
      </c>
      <c r="E223" s="385">
        <f>+'8. Alimentazione SP P'!G65+'8. Alimentazione SP P'!G66+'8. Alimentazione SP P'!G67</f>
        <v>0</v>
      </c>
      <c r="F223" s="369"/>
      <c r="G223" s="386"/>
    </row>
    <row r="224" spans="1:7" s="387" customFormat="1" ht="24.95" customHeight="1">
      <c r="A224" s="372"/>
      <c r="B224" s="373" t="s">
        <v>3328</v>
      </c>
      <c r="C224" s="374" t="s">
        <v>3329</v>
      </c>
      <c r="D224" s="375">
        <f>SUM(D225:D232)</f>
        <v>0</v>
      </c>
      <c r="E224" s="375">
        <f>SUM(E225:E232)</f>
        <v>0</v>
      </c>
      <c r="F224" s="369"/>
      <c r="G224" s="386"/>
    </row>
    <row r="225" spans="1:7" s="387" customFormat="1" ht="24.95" customHeight="1">
      <c r="A225" s="382"/>
      <c r="B225" s="389" t="s">
        <v>3330</v>
      </c>
      <c r="C225" s="390" t="s">
        <v>3331</v>
      </c>
      <c r="D225" s="385">
        <f>+'8. Alimentazione SP P'!F70</f>
        <v>0</v>
      </c>
      <c r="E225" s="385">
        <f>+'8. Alimentazione SP P'!G70</f>
        <v>0</v>
      </c>
      <c r="F225" s="369"/>
      <c r="G225" s="386"/>
    </row>
    <row r="226" spans="1:7" s="387" customFormat="1" ht="24.95" customHeight="1">
      <c r="A226" s="382"/>
      <c r="B226" s="389" t="s">
        <v>3333</v>
      </c>
      <c r="C226" s="390" t="s">
        <v>3334</v>
      </c>
      <c r="D226" s="385">
        <f>+'8. Alimentazione SP P'!F72</f>
        <v>0</v>
      </c>
      <c r="E226" s="385">
        <f>+'8. Alimentazione SP P'!G72</f>
        <v>0</v>
      </c>
      <c r="F226" s="369"/>
      <c r="G226" s="386"/>
    </row>
    <row r="227" spans="1:7" s="387" customFormat="1" ht="24.95" customHeight="1">
      <c r="A227" s="382"/>
      <c r="B227" s="389" t="s">
        <v>3336</v>
      </c>
      <c r="C227" s="390" t="s">
        <v>3337</v>
      </c>
      <c r="D227" s="385">
        <f>+'8. Alimentazione SP P'!F74</f>
        <v>0</v>
      </c>
      <c r="E227" s="385">
        <f>+'8. Alimentazione SP P'!G74</f>
        <v>0</v>
      </c>
      <c r="F227" s="369"/>
      <c r="G227" s="386"/>
    </row>
    <row r="228" spans="1:7" s="387" customFormat="1" ht="24.95" customHeight="1">
      <c r="A228" s="382"/>
      <c r="B228" s="389" t="s">
        <v>3339</v>
      </c>
      <c r="C228" s="390" t="s">
        <v>3340</v>
      </c>
      <c r="D228" s="385">
        <f>+'8. Alimentazione SP P'!F76</f>
        <v>0</v>
      </c>
      <c r="E228" s="385">
        <f>+'8. Alimentazione SP P'!G76</f>
        <v>0</v>
      </c>
      <c r="F228" s="369"/>
      <c r="G228" s="386"/>
    </row>
    <row r="229" spans="1:7" s="387" customFormat="1" ht="24.95" customHeight="1">
      <c r="A229" s="382"/>
      <c r="B229" s="389" t="s">
        <v>3342</v>
      </c>
      <c r="C229" s="390" t="s">
        <v>3343</v>
      </c>
      <c r="D229" s="385">
        <f>+'8. Alimentazione SP P'!F78</f>
        <v>0</v>
      </c>
      <c r="E229" s="385">
        <f>+'8. Alimentazione SP P'!G78</f>
        <v>0</v>
      </c>
      <c r="F229" s="369"/>
      <c r="G229" s="386"/>
    </row>
    <row r="230" spans="1:7" s="387" customFormat="1" ht="24.95" customHeight="1">
      <c r="A230" s="382"/>
      <c r="B230" s="389" t="s">
        <v>3345</v>
      </c>
      <c r="C230" s="390" t="s">
        <v>3346</v>
      </c>
      <c r="D230" s="385">
        <f>+'8. Alimentazione SP P'!F80</f>
        <v>0</v>
      </c>
      <c r="E230" s="385">
        <f>+'8. Alimentazione SP P'!G80</f>
        <v>0</v>
      </c>
      <c r="F230" s="369"/>
      <c r="G230" s="386"/>
    </row>
    <row r="231" spans="1:7" s="387" customFormat="1" ht="24.95" customHeight="1">
      <c r="A231" s="382"/>
      <c r="B231" s="389" t="s">
        <v>3348</v>
      </c>
      <c r="C231" s="390" t="s">
        <v>3349</v>
      </c>
      <c r="D231" s="385">
        <f>+'8. Alimentazione SP P'!F82</f>
        <v>0</v>
      </c>
      <c r="E231" s="385">
        <f>+'8. Alimentazione SP P'!G82</f>
        <v>0</v>
      </c>
      <c r="F231" s="369"/>
      <c r="G231" s="386"/>
    </row>
    <row r="232" spans="1:7" s="387" customFormat="1" ht="33.75" customHeight="1">
      <c r="A232" s="382"/>
      <c r="B232" s="452" t="s">
        <v>3351</v>
      </c>
      <c r="C232" s="453" t="s">
        <v>3352</v>
      </c>
      <c r="D232" s="385">
        <f>+'8. Alimentazione SP P'!F84</f>
        <v>0</v>
      </c>
      <c r="E232" s="385">
        <f>+'8. Alimentazione SP P'!G84</f>
        <v>0</v>
      </c>
      <c r="F232" s="369"/>
      <c r="G232" s="386"/>
    </row>
    <row r="233" spans="1:7" s="387" customFormat="1" ht="24.95" customHeight="1">
      <c r="A233" s="372"/>
      <c r="B233" s="373" t="s">
        <v>3354</v>
      </c>
      <c r="C233" s="374" t="s">
        <v>3355</v>
      </c>
      <c r="D233" s="375">
        <f>SUM(D234:D238)</f>
        <v>19161980.469999999</v>
      </c>
      <c r="E233" s="375">
        <f>SUM(E234:E238)</f>
        <v>2021397.5</v>
      </c>
      <c r="F233" s="369"/>
      <c r="G233" s="386"/>
    </row>
    <row r="234" spans="1:7" s="415" customFormat="1" ht="24.95" customHeight="1">
      <c r="A234" s="382"/>
      <c r="B234" s="450" t="s">
        <v>3356</v>
      </c>
      <c r="C234" s="451" t="s">
        <v>3693</v>
      </c>
      <c r="D234" s="385">
        <f>+'8. Alimentazione SP P'!F87</f>
        <v>16003531.369999999</v>
      </c>
      <c r="E234" s="385">
        <f>+'8. Alimentazione SP P'!G87</f>
        <v>907104.12</v>
      </c>
      <c r="F234" s="369"/>
      <c r="G234" s="386"/>
    </row>
    <row r="235" spans="1:7" s="387" customFormat="1" ht="24.95" customHeight="1">
      <c r="A235" s="382"/>
      <c r="B235" s="389" t="s">
        <v>3359</v>
      </c>
      <c r="C235" s="390" t="s">
        <v>3360</v>
      </c>
      <c r="D235" s="385">
        <f>+'8. Alimentazione SP P'!F89</f>
        <v>0</v>
      </c>
      <c r="E235" s="385">
        <f>+'8. Alimentazione SP P'!G89</f>
        <v>0</v>
      </c>
      <c r="F235" s="369"/>
      <c r="G235" s="386"/>
    </row>
    <row r="236" spans="1:7" s="387" customFormat="1" ht="24.95" customHeight="1">
      <c r="A236" s="382"/>
      <c r="B236" s="389" t="s">
        <v>3362</v>
      </c>
      <c r="C236" s="390" t="s">
        <v>3363</v>
      </c>
      <c r="D236" s="385">
        <f>+'8. Alimentazione SP P'!F91</f>
        <v>2975475.63</v>
      </c>
      <c r="E236" s="385">
        <f>+'8. Alimentazione SP P'!G91</f>
        <v>930026.14</v>
      </c>
      <c r="F236" s="369"/>
      <c r="G236" s="386"/>
    </row>
    <row r="237" spans="1:7" s="387" customFormat="1" ht="24.95" customHeight="1">
      <c r="A237" s="382"/>
      <c r="B237" s="389" t="s">
        <v>3365</v>
      </c>
      <c r="C237" s="390" t="s">
        <v>3366</v>
      </c>
      <c r="D237" s="385">
        <f>+'8. Alimentazione SP P'!F93</f>
        <v>0</v>
      </c>
      <c r="E237" s="385">
        <f>+'8. Alimentazione SP P'!G93</f>
        <v>0</v>
      </c>
      <c r="F237" s="369"/>
      <c r="G237" s="386"/>
    </row>
    <row r="238" spans="1:7" s="387" customFormat="1" ht="24.95" customHeight="1">
      <c r="A238" s="382"/>
      <c r="B238" s="389" t="s">
        <v>3368</v>
      </c>
      <c r="C238" s="390" t="s">
        <v>3369</v>
      </c>
      <c r="D238" s="385">
        <f>+'8. Alimentazione SP P'!F95+'8. Alimentazione SP P'!F96</f>
        <v>182973.47</v>
      </c>
      <c r="E238" s="385">
        <f>+'8. Alimentazione SP P'!G95+'8. Alimentazione SP P'!G96</f>
        <v>184267.24</v>
      </c>
      <c r="F238" s="369"/>
      <c r="G238" s="386"/>
    </row>
    <row r="239" spans="1:7" s="387" customFormat="1" ht="24.95" customHeight="1">
      <c r="A239" s="372"/>
      <c r="B239" s="373" t="s">
        <v>3372</v>
      </c>
      <c r="C239" s="374" t="s">
        <v>3373</v>
      </c>
      <c r="D239" s="375">
        <f>+D240+D241+D245+D246</f>
        <v>2948557.6199999996</v>
      </c>
      <c r="E239" s="375">
        <f>+E240+E241+E245+E246</f>
        <v>337484.57</v>
      </c>
      <c r="F239" s="369"/>
      <c r="G239" s="386"/>
    </row>
    <row r="240" spans="1:7" s="387" customFormat="1" ht="24.95" customHeight="1">
      <c r="A240" s="382"/>
      <c r="B240" s="389" t="s">
        <v>3374</v>
      </c>
      <c r="C240" s="390" t="s">
        <v>3375</v>
      </c>
      <c r="D240" s="385">
        <f>+'8. Alimentazione SP P'!F99</f>
        <v>0</v>
      </c>
      <c r="E240" s="385">
        <f>+'8. Alimentazione SP P'!G99</f>
        <v>0</v>
      </c>
      <c r="F240" s="369"/>
      <c r="G240" s="386"/>
    </row>
    <row r="241" spans="1:7" s="387" customFormat="1" ht="24.95" customHeight="1">
      <c r="A241" s="388"/>
      <c r="B241" s="378" t="s">
        <v>3377</v>
      </c>
      <c r="C241" s="379" t="s">
        <v>3378</v>
      </c>
      <c r="D241" s="380">
        <f>+D242+D243+D244</f>
        <v>2419994.2799999998</v>
      </c>
      <c r="E241" s="380">
        <f>+E242+E243+E244</f>
        <v>337484.57</v>
      </c>
      <c r="F241" s="369"/>
      <c r="G241" s="386"/>
    </row>
    <row r="242" spans="1:7" s="387" customFormat="1" ht="24.95" customHeight="1">
      <c r="A242" s="382"/>
      <c r="B242" s="383" t="s">
        <v>3379</v>
      </c>
      <c r="C242" s="384" t="s">
        <v>3694</v>
      </c>
      <c r="D242" s="385">
        <f>+'8. Alimentazione SP P'!F102</f>
        <v>2419994.2799999998</v>
      </c>
      <c r="E242" s="385">
        <f>+'8. Alimentazione SP P'!G102</f>
        <v>337484.57</v>
      </c>
      <c r="F242" s="369"/>
      <c r="G242" s="386"/>
    </row>
    <row r="243" spans="1:7" s="387" customFormat="1" ht="24.95" customHeight="1">
      <c r="A243" s="382"/>
      <c r="B243" s="383" t="s">
        <v>3382</v>
      </c>
      <c r="C243" s="384" t="s">
        <v>3383</v>
      </c>
      <c r="D243" s="385">
        <f>+'8. Alimentazione SP P'!F104</f>
        <v>0</v>
      </c>
      <c r="E243" s="385">
        <f>+'8. Alimentazione SP P'!G104</f>
        <v>0</v>
      </c>
      <c r="F243" s="369"/>
      <c r="G243" s="386"/>
    </row>
    <row r="244" spans="1:7" s="387" customFormat="1" ht="24.95" customHeight="1">
      <c r="A244" s="382"/>
      <c r="B244" s="383" t="s">
        <v>3385</v>
      </c>
      <c r="C244" s="384" t="s">
        <v>3386</v>
      </c>
      <c r="D244" s="385">
        <f>+'8. Alimentazione SP P'!F106</f>
        <v>0</v>
      </c>
      <c r="E244" s="385">
        <f>+'8. Alimentazione SP P'!G106</f>
        <v>0</v>
      </c>
      <c r="F244" s="369"/>
      <c r="G244" s="386"/>
    </row>
    <row r="245" spans="1:7" s="387" customFormat="1" ht="24.95" customHeight="1">
      <c r="A245" s="443"/>
      <c r="B245" s="454" t="s">
        <v>3388</v>
      </c>
      <c r="C245" s="455" t="s">
        <v>3389</v>
      </c>
      <c r="D245" s="385">
        <f>+'8. Alimentazione SP P'!F108+'8. Alimentazione SP P'!F109</f>
        <v>525113.68999999994</v>
      </c>
      <c r="E245" s="385">
        <f>+'8. Alimentazione SP P'!G108+'8. Alimentazione SP P'!G109</f>
        <v>0</v>
      </c>
      <c r="F245" s="369"/>
      <c r="G245" s="386"/>
    </row>
    <row r="246" spans="1:7" s="415" customFormat="1" ht="24.95" customHeight="1">
      <c r="A246" s="456"/>
      <c r="B246" s="457" t="s">
        <v>3392</v>
      </c>
      <c r="C246" s="458" t="s">
        <v>3695</v>
      </c>
      <c r="D246" s="385">
        <f>+'8. Alimentazione SP P'!F111</f>
        <v>3449.65</v>
      </c>
      <c r="E246" s="385">
        <f>+'8. Alimentazione SP P'!G111</f>
        <v>0</v>
      </c>
      <c r="F246" s="369"/>
      <c r="G246" s="386"/>
    </row>
    <row r="247" spans="1:7" s="387" customFormat="1" ht="24.95" customHeight="1">
      <c r="A247" s="365"/>
      <c r="B247" s="459" t="s">
        <v>3395</v>
      </c>
      <c r="C247" s="439" t="s">
        <v>3396</v>
      </c>
      <c r="D247" s="440">
        <f>+D248+D249+D250</f>
        <v>0</v>
      </c>
      <c r="E247" s="440">
        <f>+E248+E249+E250</f>
        <v>0</v>
      </c>
      <c r="F247" s="369"/>
      <c r="G247" s="386"/>
    </row>
    <row r="248" spans="1:7" s="387" customFormat="1" ht="24.95" customHeight="1">
      <c r="A248" s="382"/>
      <c r="B248" s="446" t="s">
        <v>3397</v>
      </c>
      <c r="C248" s="447" t="s">
        <v>3398</v>
      </c>
      <c r="D248" s="385">
        <f>+'8. Alimentazione SP P'!F114</f>
        <v>0</v>
      </c>
      <c r="E248" s="385">
        <f>+'8. Alimentazione SP P'!G114</f>
        <v>0</v>
      </c>
      <c r="F248" s="369"/>
      <c r="G248" s="386"/>
    </row>
    <row r="249" spans="1:7" s="387" customFormat="1" ht="24.95" customHeight="1">
      <c r="A249" s="382"/>
      <c r="B249" s="446" t="s">
        <v>3400</v>
      </c>
      <c r="C249" s="447" t="s">
        <v>3401</v>
      </c>
      <c r="D249" s="385">
        <f>+'8. Alimentazione SP P'!F116</f>
        <v>0</v>
      </c>
      <c r="E249" s="385">
        <f>+'8. Alimentazione SP P'!G116</f>
        <v>0</v>
      </c>
      <c r="F249" s="369"/>
      <c r="G249" s="386"/>
    </row>
    <row r="250" spans="1:7" s="387" customFormat="1" ht="24.95" customHeight="1" thickBot="1">
      <c r="A250" s="392"/>
      <c r="B250" s="448" t="s">
        <v>3403</v>
      </c>
      <c r="C250" s="449" t="s">
        <v>3696</v>
      </c>
      <c r="D250" s="385">
        <f>+'8. Alimentazione SP P'!F118</f>
        <v>0</v>
      </c>
      <c r="E250" s="385">
        <f>+'8. Alimentazione SP P'!G118</f>
        <v>0</v>
      </c>
      <c r="F250" s="369"/>
      <c r="G250" s="386"/>
    </row>
    <row r="251" spans="1:7" s="387" customFormat="1" ht="24.95" customHeight="1">
      <c r="A251" s="460"/>
      <c r="B251" s="461" t="s">
        <v>3406</v>
      </c>
      <c r="C251" s="367" t="s">
        <v>3407</v>
      </c>
      <c r="D251" s="399">
        <f>+D252+D253+D259+D270+D271+D289+D293+D300+D301+D302+D303</f>
        <v>170147266.63359997</v>
      </c>
      <c r="E251" s="399">
        <f>+E252+E253+E259+E270+E271+E289+E293+E300+E301+E302+E303</f>
        <v>140442867.51999995</v>
      </c>
      <c r="F251" s="369"/>
      <c r="G251" s="386"/>
    </row>
    <row r="252" spans="1:7" s="387" customFormat="1" ht="24.95" customHeight="1">
      <c r="A252" s="382"/>
      <c r="B252" s="446" t="s">
        <v>3408</v>
      </c>
      <c r="C252" s="447" t="s">
        <v>3409</v>
      </c>
      <c r="D252" s="385">
        <f>+'8. Alimentazione SP P'!F121</f>
        <v>0</v>
      </c>
      <c r="E252" s="385">
        <f>+'8. Alimentazione SP P'!G121</f>
        <v>0</v>
      </c>
      <c r="F252" s="369"/>
      <c r="G252" s="386"/>
    </row>
    <row r="253" spans="1:7" s="387" customFormat="1" ht="24.95" customHeight="1">
      <c r="A253" s="382"/>
      <c r="B253" s="446" t="s">
        <v>3411</v>
      </c>
      <c r="C253" s="447" t="s">
        <v>3412</v>
      </c>
      <c r="D253" s="385">
        <f>SUM(D254:D258)</f>
        <v>7746.84</v>
      </c>
      <c r="E253" s="385">
        <f>SUM(E254:E258)</f>
        <v>4829.26</v>
      </c>
      <c r="F253" s="480" t="s">
        <v>1820</v>
      </c>
      <c r="G253" s="386"/>
    </row>
    <row r="254" spans="1:7" s="387" customFormat="1" ht="24.95" customHeight="1">
      <c r="A254" s="462" t="s">
        <v>1283</v>
      </c>
      <c r="B254" s="450" t="s">
        <v>3413</v>
      </c>
      <c r="C254" s="451" t="s">
        <v>3414</v>
      </c>
      <c r="D254" s="385">
        <f>+'8. Alimentazione SP P'!F124</f>
        <v>0</v>
      </c>
      <c r="E254" s="385">
        <f>+'8. Alimentazione SP P'!G124</f>
        <v>0</v>
      </c>
      <c r="F254" s="369"/>
      <c r="G254" s="386"/>
    </row>
    <row r="255" spans="1:7" s="387" customFormat="1" ht="24.95" customHeight="1">
      <c r="A255" s="462"/>
      <c r="B255" s="450" t="s">
        <v>3416</v>
      </c>
      <c r="C255" s="451" t="s">
        <v>3417</v>
      </c>
      <c r="D255" s="385">
        <f>+'8. Alimentazione SP P'!F126</f>
        <v>0</v>
      </c>
      <c r="E255" s="385">
        <f>+'8. Alimentazione SP P'!G126</f>
        <v>0</v>
      </c>
      <c r="F255" s="369"/>
      <c r="G255" s="386"/>
    </row>
    <row r="256" spans="1:7" s="387" customFormat="1" ht="24.95" customHeight="1">
      <c r="A256" s="432" t="s">
        <v>1287</v>
      </c>
      <c r="B256" s="450" t="s">
        <v>3419</v>
      </c>
      <c r="C256" s="451" t="s">
        <v>3420</v>
      </c>
      <c r="D256" s="385">
        <f>+'8. Alimentazione SP P'!F128</f>
        <v>0</v>
      </c>
      <c r="E256" s="385">
        <f>+'8. Alimentazione SP P'!G128</f>
        <v>0</v>
      </c>
      <c r="F256" s="369"/>
      <c r="G256" s="386"/>
    </row>
    <row r="257" spans="1:7" s="387" customFormat="1" ht="24.95" customHeight="1">
      <c r="A257" s="432" t="s">
        <v>1287</v>
      </c>
      <c r="B257" s="450" t="s">
        <v>3422</v>
      </c>
      <c r="C257" s="451" t="s">
        <v>3423</v>
      </c>
      <c r="D257" s="385">
        <f>+'8. Alimentazione SP P'!F130</f>
        <v>0</v>
      </c>
      <c r="E257" s="385">
        <f>+'8. Alimentazione SP P'!G130</f>
        <v>0</v>
      </c>
      <c r="F257" s="369"/>
      <c r="G257" s="386"/>
    </row>
    <row r="258" spans="1:7" s="387" customFormat="1" ht="24.95" customHeight="1">
      <c r="A258" s="432" t="s">
        <v>1287</v>
      </c>
      <c r="B258" s="450" t="s">
        <v>3425</v>
      </c>
      <c r="C258" s="451" t="s">
        <v>3426</v>
      </c>
      <c r="D258" s="385">
        <f>+'8. Alimentazione SP P'!F132+'8. Alimentazione SP P'!F133+'8. Alimentazione SP P'!F134+'8. Alimentazione SP P'!F135</f>
        <v>7746.84</v>
      </c>
      <c r="E258" s="385">
        <f>+'8. Alimentazione SP P'!G132+'8. Alimentazione SP P'!G133+'8. Alimentazione SP P'!G134+'8. Alimentazione SP P'!G135</f>
        <v>4829.26</v>
      </c>
      <c r="F258" s="369"/>
      <c r="G258" s="386"/>
    </row>
    <row r="259" spans="1:7" s="387" customFormat="1" ht="24.95" customHeight="1">
      <c r="A259" s="382"/>
      <c r="B259" s="446" t="s">
        <v>3431</v>
      </c>
      <c r="C259" s="447" t="s">
        <v>3432</v>
      </c>
      <c r="D259" s="385">
        <f>SUM(D260:D269)</f>
        <v>2020588.41</v>
      </c>
      <c r="E259" s="385">
        <f>SUM(E260:E269)</f>
        <v>5970553.7799999993</v>
      </c>
      <c r="F259" s="480" t="s">
        <v>1820</v>
      </c>
      <c r="G259" s="386"/>
    </row>
    <row r="260" spans="1:7" s="415" customFormat="1" ht="24.95" customHeight="1">
      <c r="A260" s="432" t="s">
        <v>3681</v>
      </c>
      <c r="B260" s="389" t="s">
        <v>3433</v>
      </c>
      <c r="C260" s="390" t="s">
        <v>3434</v>
      </c>
      <c r="D260" s="385">
        <f>+'8. Alimentazione SP P'!F138</f>
        <v>0</v>
      </c>
      <c r="E260" s="385">
        <f>+'8. Alimentazione SP P'!G138</f>
        <v>0</v>
      </c>
      <c r="F260" s="369"/>
      <c r="G260" s="386"/>
    </row>
    <row r="261" spans="1:7" s="415" customFormat="1" ht="24.95" customHeight="1">
      <c r="A261" s="432"/>
      <c r="B261" s="389" t="s">
        <v>3436</v>
      </c>
      <c r="C261" s="390" t="s">
        <v>3437</v>
      </c>
      <c r="D261" s="385">
        <f>+'8. Alimentazione SP P'!F140</f>
        <v>0</v>
      </c>
      <c r="E261" s="385">
        <f>+'8. Alimentazione SP P'!G140</f>
        <v>0</v>
      </c>
      <c r="F261" s="369"/>
      <c r="G261" s="386"/>
    </row>
    <row r="262" spans="1:7" s="387" customFormat="1" ht="24.95" customHeight="1">
      <c r="A262" s="432" t="s">
        <v>1238</v>
      </c>
      <c r="B262" s="389" t="s">
        <v>3439</v>
      </c>
      <c r="C262" s="390" t="s">
        <v>3440</v>
      </c>
      <c r="D262" s="385">
        <f>+'8. Alimentazione SP P'!F142</f>
        <v>0</v>
      </c>
      <c r="E262" s="385">
        <f>+'8. Alimentazione SP P'!G142</f>
        <v>0</v>
      </c>
      <c r="F262" s="369"/>
      <c r="G262" s="386"/>
    </row>
    <row r="263" spans="1:7" s="387" customFormat="1" ht="24.95" customHeight="1">
      <c r="A263" s="462" t="s">
        <v>3681</v>
      </c>
      <c r="B263" s="450" t="s">
        <v>3442</v>
      </c>
      <c r="C263" s="451" t="s">
        <v>3443</v>
      </c>
      <c r="D263" s="385">
        <f>+'8. Alimentazione SP P'!F144</f>
        <v>0</v>
      </c>
      <c r="E263" s="385">
        <f>+'8. Alimentazione SP P'!G144</f>
        <v>0</v>
      </c>
      <c r="F263" s="369"/>
      <c r="G263" s="386"/>
    </row>
    <row r="264" spans="1:7" s="415" customFormat="1" ht="24.95" customHeight="1">
      <c r="A264" s="412" t="s">
        <v>3681</v>
      </c>
      <c r="B264" s="463" t="s">
        <v>3445</v>
      </c>
      <c r="C264" s="464" t="s">
        <v>3446</v>
      </c>
      <c r="D264" s="385">
        <f>+'8. Alimentazione SP P'!F146</f>
        <v>0</v>
      </c>
      <c r="E264" s="385">
        <f>+'8. Alimentazione SP P'!G146</f>
        <v>0</v>
      </c>
      <c r="F264" s="369"/>
      <c r="G264" s="386"/>
    </row>
    <row r="265" spans="1:7" s="387" customFormat="1" ht="24.95" customHeight="1">
      <c r="A265" s="412" t="s">
        <v>3681</v>
      </c>
      <c r="B265" s="463" t="s">
        <v>3448</v>
      </c>
      <c r="C265" s="464" t="s">
        <v>3449</v>
      </c>
      <c r="D265" s="385">
        <f>+'8. Alimentazione SP P'!F148</f>
        <v>0</v>
      </c>
      <c r="E265" s="385">
        <f>+'8. Alimentazione SP P'!G148</f>
        <v>0</v>
      </c>
      <c r="F265" s="369"/>
      <c r="G265" s="386"/>
    </row>
    <row r="266" spans="1:7" s="387" customFormat="1" ht="24.95" customHeight="1">
      <c r="A266" s="412" t="s">
        <v>3681</v>
      </c>
      <c r="B266" s="463" t="s">
        <v>3451</v>
      </c>
      <c r="C266" s="464" t="s">
        <v>3452</v>
      </c>
      <c r="D266" s="385">
        <f>+'8. Alimentazione SP P'!F150</f>
        <v>0</v>
      </c>
      <c r="E266" s="385">
        <f>+'8. Alimentazione SP P'!G150</f>
        <v>0</v>
      </c>
      <c r="F266" s="369"/>
      <c r="G266" s="386"/>
    </row>
    <row r="267" spans="1:7" s="387" customFormat="1" ht="24.95" customHeight="1">
      <c r="A267" s="465"/>
      <c r="B267" s="466" t="s">
        <v>3454</v>
      </c>
      <c r="C267" s="467" t="s">
        <v>3697</v>
      </c>
      <c r="D267" s="385">
        <f>+'8. Alimentazione SP P'!F152</f>
        <v>0</v>
      </c>
      <c r="E267" s="385">
        <f>+'8. Alimentazione SP P'!G152</f>
        <v>0</v>
      </c>
      <c r="F267" s="369"/>
      <c r="G267" s="386"/>
    </row>
    <row r="268" spans="1:7" s="415" customFormat="1" ht="24.95" customHeight="1">
      <c r="A268" s="468" t="s">
        <v>3681</v>
      </c>
      <c r="B268" s="463" t="s">
        <v>3457</v>
      </c>
      <c r="C268" s="464" t="s">
        <v>3698</v>
      </c>
      <c r="D268" s="385">
        <f>+'8. Alimentazione SP P'!F154</f>
        <v>0</v>
      </c>
      <c r="E268" s="385">
        <f>+'8. Alimentazione SP P'!G154</f>
        <v>0</v>
      </c>
      <c r="F268" s="369"/>
      <c r="G268" s="386"/>
    </row>
    <row r="269" spans="1:7" s="415" customFormat="1" ht="24.95" customHeight="1">
      <c r="A269" s="468"/>
      <c r="B269" s="463" t="s">
        <v>3460</v>
      </c>
      <c r="C269" s="464" t="s">
        <v>3461</v>
      </c>
      <c r="D269" s="385">
        <f>+'8. Alimentazione SP P'!F156+'8. Alimentazione SP P'!F157+'8. Alimentazione SP P'!F158+'8. Alimentazione SP P'!F159+'8. Alimentazione SP P'!F160</f>
        <v>2020588.41</v>
      </c>
      <c r="E269" s="385">
        <f>+'8. Alimentazione SP P'!G156+'8. Alimentazione SP P'!G157+'8. Alimentazione SP P'!G158+'8. Alimentazione SP P'!G159+'8. Alimentazione SP P'!G160</f>
        <v>5970553.7799999993</v>
      </c>
      <c r="F269" s="369"/>
      <c r="G269" s="386"/>
    </row>
    <row r="270" spans="1:7" s="387" customFormat="1" ht="24.95" customHeight="1">
      <c r="A270" s="382"/>
      <c r="B270" s="446" t="s">
        <v>3467</v>
      </c>
      <c r="C270" s="447" t="s">
        <v>3468</v>
      </c>
      <c r="D270" s="385">
        <f>+'8. Alimentazione SP P'!F162+'8. Alimentazione SP P'!F163+'8. Alimentazione SP P'!F164+'8. Alimentazione SP P'!F165</f>
        <v>0</v>
      </c>
      <c r="E270" s="385">
        <f>+'8. Alimentazione SP P'!G162+'8. Alimentazione SP P'!G163+'8. Alimentazione SP P'!G164+'8. Alimentazione SP P'!G165</f>
        <v>0</v>
      </c>
      <c r="F270" s="369"/>
      <c r="G270" s="386"/>
    </row>
    <row r="271" spans="1:7" s="387" customFormat="1" ht="24.95" customHeight="1">
      <c r="A271" s="382"/>
      <c r="B271" s="446" t="s">
        <v>3473</v>
      </c>
      <c r="C271" s="447" t="s">
        <v>3474</v>
      </c>
      <c r="D271" s="385">
        <f>+D272+D282+D283</f>
        <v>71858169.340000004</v>
      </c>
      <c r="E271" s="385">
        <f>+E272+E282+E283</f>
        <v>77647642.419999987</v>
      </c>
      <c r="F271" s="480" t="s">
        <v>1820</v>
      </c>
      <c r="G271" s="386"/>
    </row>
    <row r="272" spans="1:7" s="387" customFormat="1" ht="24.95" customHeight="1">
      <c r="A272" s="382"/>
      <c r="B272" s="389" t="s">
        <v>3475</v>
      </c>
      <c r="C272" s="390" t="s">
        <v>3476</v>
      </c>
      <c r="D272" s="385">
        <f>SUM(D273:D281)</f>
        <v>71600958.189999998</v>
      </c>
      <c r="E272" s="385">
        <f>SUM(E273:E281)</f>
        <v>77469259.539999992</v>
      </c>
      <c r="F272" s="480" t="s">
        <v>1820</v>
      </c>
      <c r="G272" s="386"/>
    </row>
    <row r="273" spans="1:7" s="387" customFormat="1" ht="24.95" customHeight="1">
      <c r="A273" s="382" t="s">
        <v>3681</v>
      </c>
      <c r="B273" s="383" t="s">
        <v>3477</v>
      </c>
      <c r="C273" s="384" t="s">
        <v>3478</v>
      </c>
      <c r="D273" s="385">
        <f>+'[4]Alimentazione SP P'!I190</f>
        <v>0</v>
      </c>
      <c r="E273" s="385">
        <f>+'[4]Alimentazione SP P'!J190</f>
        <v>0</v>
      </c>
      <c r="F273" s="369"/>
      <c r="G273" s="386"/>
    </row>
    <row r="274" spans="1:7" s="387" customFormat="1" ht="24.95" customHeight="1">
      <c r="A274" s="382" t="s">
        <v>3681</v>
      </c>
      <c r="B274" s="383" t="s">
        <v>3480</v>
      </c>
      <c r="C274" s="384" t="s">
        <v>3481</v>
      </c>
      <c r="D274" s="385">
        <f>+'[4]Alimentazione SP P'!I191</f>
        <v>0</v>
      </c>
      <c r="E274" s="385">
        <f>+'[4]Alimentazione SP P'!J191</f>
        <v>0</v>
      </c>
      <c r="F274" s="369"/>
      <c r="G274" s="386"/>
    </row>
    <row r="275" spans="1:7" s="387" customFormat="1" ht="24.95" customHeight="1">
      <c r="A275" s="382" t="s">
        <v>3681</v>
      </c>
      <c r="B275" s="383" t="s">
        <v>3483</v>
      </c>
      <c r="C275" s="384" t="s">
        <v>3484</v>
      </c>
      <c r="D275" s="385">
        <f>+'[4]Alimentazione SP P'!I192</f>
        <v>0</v>
      </c>
      <c r="E275" s="385">
        <f>+'[4]Alimentazione SP P'!J192</f>
        <v>0</v>
      </c>
      <c r="F275" s="369"/>
      <c r="G275" s="386"/>
    </row>
    <row r="276" spans="1:7" s="387" customFormat="1" ht="24.95" customHeight="1">
      <c r="A276" s="382" t="s">
        <v>1238</v>
      </c>
      <c r="B276" s="383" t="s">
        <v>3486</v>
      </c>
      <c r="C276" s="384" t="s">
        <v>3487</v>
      </c>
      <c r="D276" s="385">
        <f>+'[4]Alimentazione SP P'!I193</f>
        <v>0</v>
      </c>
      <c r="E276" s="385">
        <f>+'[4]Alimentazione SP P'!J193</f>
        <v>0</v>
      </c>
      <c r="F276" s="369"/>
      <c r="G276" s="386"/>
    </row>
    <row r="277" spans="1:7" s="387" customFormat="1" ht="24.95" customHeight="1">
      <c r="A277" s="400" t="s">
        <v>1238</v>
      </c>
      <c r="B277" s="383" t="s">
        <v>3489</v>
      </c>
      <c r="C277" s="384" t="s">
        <v>3490</v>
      </c>
      <c r="D277" s="385">
        <f>+'[4]Alimentazione SP P'!I195+'[4]Alimentazione SP P'!I196+'[4]Alimentazione SP P'!I197</f>
        <v>0</v>
      </c>
      <c r="E277" s="385">
        <f>+'8. Alimentazione SP P'!G179+'8. Alimentazione SP P'!G178+'8. Alimentazione SP P'!G177</f>
        <v>0</v>
      </c>
      <c r="F277" s="369"/>
      <c r="G277" s="386"/>
    </row>
    <row r="278" spans="1:7" s="387" customFormat="1" ht="24.95" customHeight="1">
      <c r="A278" s="400" t="s">
        <v>1238</v>
      </c>
      <c r="B278" s="383" t="s">
        <v>3494</v>
      </c>
      <c r="C278" s="384" t="s">
        <v>3495</v>
      </c>
      <c r="D278" s="703">
        <f>+'8. Alimentazione SP P'!F181+'8. Alimentazione SP P'!F182+'8. Alimentazione SP P'!F183</f>
        <v>71600958.189999998</v>
      </c>
      <c r="E278" s="385">
        <f>+'8. Alimentazione SP P'!G183+'8. Alimentazione SP P'!G182+'8. Alimentazione SP P'!G181</f>
        <v>77469259.539999992</v>
      </c>
      <c r="F278" s="369"/>
      <c r="G278" s="386"/>
    </row>
    <row r="279" spans="1:7" s="415" customFormat="1" ht="24.95" customHeight="1">
      <c r="A279" s="417" t="s">
        <v>3681</v>
      </c>
      <c r="B279" s="383" t="s">
        <v>3499</v>
      </c>
      <c r="C279" s="418" t="s">
        <v>3699</v>
      </c>
      <c r="D279" s="385">
        <f>+'[4]Alimentazione SP P'!I202</f>
        <v>0</v>
      </c>
      <c r="E279" s="385">
        <f>+'8. Alimentazione SP P'!G185</f>
        <v>0</v>
      </c>
      <c r="G279" s="386"/>
    </row>
    <row r="280" spans="1:7" s="387" customFormat="1" ht="24.95" customHeight="1">
      <c r="A280" s="412" t="s">
        <v>1238</v>
      </c>
      <c r="B280" s="383" t="s">
        <v>3502</v>
      </c>
      <c r="C280" s="76" t="s">
        <v>3700</v>
      </c>
      <c r="D280" s="385">
        <f>+'[4]Alimentazione SP P'!I203</f>
        <v>0</v>
      </c>
      <c r="E280" s="385">
        <f>+'[4]Alimentazione SP P'!J203</f>
        <v>0</v>
      </c>
      <c r="F280" s="369"/>
      <c r="G280" s="386"/>
    </row>
    <row r="281" spans="1:7" s="415" customFormat="1" ht="24.95" customHeight="1">
      <c r="A281" s="419" t="s">
        <v>3681</v>
      </c>
      <c r="B281" s="469" t="s">
        <v>3505</v>
      </c>
      <c r="C281" s="76" t="s">
        <v>3701</v>
      </c>
      <c r="D281" s="385">
        <f>+'[4]Alimentazione SP P'!I204</f>
        <v>0</v>
      </c>
      <c r="E281" s="385">
        <f>+'[4]Alimentazione SP P'!J204</f>
        <v>0</v>
      </c>
      <c r="G281" s="386"/>
    </row>
    <row r="282" spans="1:7" s="387" customFormat="1" ht="24.95" customHeight="1">
      <c r="A282" s="432" t="s">
        <v>1287</v>
      </c>
      <c r="B282" s="389" t="s">
        <v>3508</v>
      </c>
      <c r="C282" s="390" t="s">
        <v>3702</v>
      </c>
      <c r="D282" s="385">
        <f>+'8. Alimentazione SP P'!F191+'8. Alimentazione SP P'!F192+'8. Alimentazione SP P'!F193</f>
        <v>257211.15000000002</v>
      </c>
      <c r="E282" s="385">
        <f>+'8. Alimentazione SP P'!G191+'8. Alimentazione SP P'!G192+'8. Alimentazione SP P'!G193</f>
        <v>178382.88</v>
      </c>
      <c r="F282" s="369"/>
      <c r="G282" s="386"/>
    </row>
    <row r="283" spans="1:7" s="387" customFormat="1" ht="24.95" customHeight="1">
      <c r="A283" s="400"/>
      <c r="B283" s="389" t="s">
        <v>3513</v>
      </c>
      <c r="C283" s="390" t="s">
        <v>3514</v>
      </c>
      <c r="D283" s="385">
        <f>SUM(D284:D288)</f>
        <v>0</v>
      </c>
      <c r="E283" s="385">
        <f>SUM(E284:E288)</f>
        <v>0</v>
      </c>
      <c r="F283" s="369"/>
      <c r="G283" s="386"/>
    </row>
    <row r="284" spans="1:7" s="387" customFormat="1" ht="24.95" customHeight="1">
      <c r="A284" s="400" t="s">
        <v>3681</v>
      </c>
      <c r="B284" s="401" t="s">
        <v>3515</v>
      </c>
      <c r="C284" s="402" t="s">
        <v>3703</v>
      </c>
      <c r="D284" s="385">
        <f>+'[4]Alimentazione SP P'!I210</f>
        <v>0</v>
      </c>
      <c r="E284" s="385">
        <f>+'[4]Alimentazione SP P'!J210</f>
        <v>0</v>
      </c>
      <c r="F284" s="369"/>
      <c r="G284" s="386"/>
    </row>
    <row r="285" spans="1:7" s="387" customFormat="1" ht="24.95" customHeight="1">
      <c r="A285" s="400" t="s">
        <v>3681</v>
      </c>
      <c r="B285" s="401" t="s">
        <v>3518</v>
      </c>
      <c r="C285" s="402" t="s">
        <v>3519</v>
      </c>
      <c r="D285" s="385">
        <f>+'[4]Alimentazione SP P'!I211</f>
        <v>0</v>
      </c>
      <c r="E285" s="385">
        <f>+'[4]Alimentazione SP P'!J211</f>
        <v>0</v>
      </c>
      <c r="F285" s="369"/>
      <c r="G285" s="386"/>
    </row>
    <row r="286" spans="1:7" s="387" customFormat="1" ht="24.95" customHeight="1">
      <c r="A286" s="400" t="s">
        <v>3681</v>
      </c>
      <c r="B286" s="401" t="s">
        <v>3521</v>
      </c>
      <c r="C286" s="402" t="s">
        <v>3522</v>
      </c>
      <c r="D286" s="385">
        <f>+'[4]Alimentazione SP P'!I212</f>
        <v>0</v>
      </c>
      <c r="E286" s="385">
        <f>+'[4]Alimentazione SP P'!J212</f>
        <v>0</v>
      </c>
      <c r="F286" s="369"/>
      <c r="G286" s="386"/>
    </row>
    <row r="287" spans="1:7" s="387" customFormat="1" ht="24.95" customHeight="1">
      <c r="A287" s="400" t="s">
        <v>3681</v>
      </c>
      <c r="B287" s="401" t="s">
        <v>3524</v>
      </c>
      <c r="C287" s="402" t="s">
        <v>3525</v>
      </c>
      <c r="D287" s="385">
        <f>+'[4]Alimentazione SP P'!I213</f>
        <v>0</v>
      </c>
      <c r="E287" s="385">
        <f>+'[4]Alimentazione SP P'!J213</f>
        <v>0</v>
      </c>
      <c r="F287" s="369"/>
      <c r="G287" s="386"/>
    </row>
    <row r="288" spans="1:7" s="387" customFormat="1" ht="24.95" customHeight="1">
      <c r="A288" s="400" t="s">
        <v>3681</v>
      </c>
      <c r="B288" s="401" t="s">
        <v>3527</v>
      </c>
      <c r="C288" s="402" t="s">
        <v>3528</v>
      </c>
      <c r="D288" s="385">
        <f>+'[4]Alimentazione SP P'!I214</f>
        <v>0</v>
      </c>
      <c r="E288" s="385">
        <f>+'[4]Alimentazione SP P'!J214</f>
        <v>0</v>
      </c>
      <c r="F288" s="369"/>
      <c r="G288" s="386"/>
    </row>
    <row r="289" spans="1:7" s="387" customFormat="1" ht="24.95" customHeight="1">
      <c r="A289" s="382"/>
      <c r="B289" s="446" t="s">
        <v>3530</v>
      </c>
      <c r="C289" s="447" t="s">
        <v>3531</v>
      </c>
      <c r="D289" s="385">
        <f>+D290+D291+D292</f>
        <v>0</v>
      </c>
      <c r="E289" s="385">
        <f>+E290+E291+E292</f>
        <v>0</v>
      </c>
      <c r="F289" s="480" t="s">
        <v>1820</v>
      </c>
      <c r="G289" s="386"/>
    </row>
    <row r="290" spans="1:7" s="387" customFormat="1" ht="24.95" customHeight="1">
      <c r="A290" s="382"/>
      <c r="B290" s="389" t="s">
        <v>3532</v>
      </c>
      <c r="C290" s="390" t="s">
        <v>3533</v>
      </c>
      <c r="D290" s="385">
        <f>+'8. Alimentazione SP P'!F207</f>
        <v>0</v>
      </c>
      <c r="E290" s="385">
        <f>+'8. Alimentazione SP P'!G207</f>
        <v>0</v>
      </c>
      <c r="F290" s="369"/>
      <c r="G290" s="386"/>
    </row>
    <row r="291" spans="1:7" s="387" customFormat="1" ht="24.95" customHeight="1">
      <c r="A291" s="382"/>
      <c r="B291" s="389" t="s">
        <v>3535</v>
      </c>
      <c r="C291" s="390" t="s">
        <v>3536</v>
      </c>
      <c r="D291" s="385">
        <f>+'8. Alimentazione SP P'!F209</f>
        <v>0</v>
      </c>
      <c r="E291" s="385">
        <f>+'8. Alimentazione SP P'!G209</f>
        <v>0</v>
      </c>
      <c r="F291" s="369"/>
      <c r="G291" s="386"/>
    </row>
    <row r="292" spans="1:7" s="387" customFormat="1" ht="24.95" customHeight="1">
      <c r="A292" s="382"/>
      <c r="B292" s="389" t="s">
        <v>3538</v>
      </c>
      <c r="C292" s="390" t="s">
        <v>3539</v>
      </c>
      <c r="D292" s="385">
        <f>+'8. Alimentazione SP P'!F211+'8. Alimentazione SP P'!F212+'8. Alimentazione SP P'!F213</f>
        <v>0</v>
      </c>
      <c r="E292" s="385">
        <f>+'8. Alimentazione SP P'!G211+'8. Alimentazione SP P'!G212+'8. Alimentazione SP P'!G213</f>
        <v>0</v>
      </c>
      <c r="F292" s="369"/>
      <c r="G292" s="386"/>
    </row>
    <row r="293" spans="1:7" s="387" customFormat="1" ht="24.95" customHeight="1">
      <c r="A293" s="382"/>
      <c r="B293" s="446" t="s">
        <v>3543</v>
      </c>
      <c r="C293" s="447" t="s">
        <v>3544</v>
      </c>
      <c r="D293" s="385">
        <f>+D294+D297</f>
        <v>89809618.099999994</v>
      </c>
      <c r="E293" s="385">
        <f>+E294+E297</f>
        <v>52243726.07</v>
      </c>
      <c r="F293" s="480" t="s">
        <v>1820</v>
      </c>
      <c r="G293" s="386"/>
    </row>
    <row r="294" spans="1:7" s="387" customFormat="1" ht="25.5">
      <c r="A294" s="382"/>
      <c r="B294" s="389" t="s">
        <v>3545</v>
      </c>
      <c r="C294" s="390" t="s">
        <v>3704</v>
      </c>
      <c r="D294" s="385">
        <f>+D295+D296</f>
        <v>0</v>
      </c>
      <c r="E294" s="385">
        <f>+E295+E296</f>
        <v>0</v>
      </c>
      <c r="F294" s="480" t="s">
        <v>1820</v>
      </c>
      <c r="G294" s="386"/>
    </row>
    <row r="295" spans="1:7" s="387" customFormat="1" ht="21">
      <c r="A295" s="382"/>
      <c r="B295" s="457" t="s">
        <v>3547</v>
      </c>
      <c r="C295" s="470" t="s">
        <v>3705</v>
      </c>
      <c r="D295" s="385">
        <f>+'8. Alimentazione SP P'!F217+'8. Alimentazione SP P'!F218</f>
        <v>0</v>
      </c>
      <c r="E295" s="385">
        <f>+'8. Alimentazione SP P'!G217+'8. Alimentazione SP P'!G218</f>
        <v>0</v>
      </c>
      <c r="F295" s="369"/>
      <c r="G295" s="386"/>
    </row>
    <row r="296" spans="1:7" s="387" customFormat="1" ht="21">
      <c r="A296" s="382"/>
      <c r="B296" s="457" t="s">
        <v>3551</v>
      </c>
      <c r="C296" s="470" t="s">
        <v>3552</v>
      </c>
      <c r="D296" s="385">
        <f>+'8. Alimentazione SP P'!F220</f>
        <v>0</v>
      </c>
      <c r="E296" s="385">
        <f>+'8. Alimentazione SP P'!G220</f>
        <v>0</v>
      </c>
      <c r="F296" s="369"/>
      <c r="G296" s="386"/>
    </row>
    <row r="297" spans="1:7" s="387" customFormat="1" ht="21">
      <c r="A297" s="382"/>
      <c r="B297" s="457" t="s">
        <v>3554</v>
      </c>
      <c r="C297" s="470" t="s">
        <v>3555</v>
      </c>
      <c r="D297" s="385">
        <f>+D298+D299</f>
        <v>89809618.099999994</v>
      </c>
      <c r="E297" s="385">
        <f>+E298+E299</f>
        <v>52243726.07</v>
      </c>
      <c r="F297" s="480" t="s">
        <v>1820</v>
      </c>
      <c r="G297" s="386"/>
    </row>
    <row r="298" spans="1:7" s="387" customFormat="1" ht="21">
      <c r="A298" s="382"/>
      <c r="B298" s="471" t="s">
        <v>3556</v>
      </c>
      <c r="C298" s="472" t="s">
        <v>3557</v>
      </c>
      <c r="D298" s="385">
        <f>+'8. Alimentazione SP P'!F223+'8. Alimentazione SP P'!F224+'8. Alimentazione SP P'!F225+'8. Alimentazione SP P'!F226+'8. Alimentazione SP P'!F227+'8. Alimentazione SP P'!F228</f>
        <v>92485773.939999998</v>
      </c>
      <c r="E298" s="385">
        <f>+'8. Alimentazione SP P'!G223+'8. Alimentazione SP P'!G224+'8. Alimentazione SP P'!G225+'8. Alimentazione SP P'!G226+'8. Alimentazione SP P'!G227+'8. Alimentazione SP P'!G228</f>
        <v>54382386.280000001</v>
      </c>
      <c r="F298" s="369"/>
      <c r="G298" s="386"/>
    </row>
    <row r="299" spans="1:7" s="387" customFormat="1" ht="21">
      <c r="A299" s="382"/>
      <c r="B299" s="471" t="s">
        <v>3564</v>
      </c>
      <c r="C299" s="472" t="s">
        <v>3706</v>
      </c>
      <c r="D299" s="385">
        <f>+'8. Alimentazione SP P'!F230</f>
        <v>-2676155.84</v>
      </c>
      <c r="E299" s="385">
        <f>+'8. Alimentazione SP P'!G230</f>
        <v>-2138660.21</v>
      </c>
      <c r="F299" s="369"/>
      <c r="G299" s="386"/>
    </row>
    <row r="300" spans="1:7" s="387" customFormat="1" ht="24.95" customHeight="1">
      <c r="A300" s="382"/>
      <c r="B300" s="446" t="s">
        <v>3567</v>
      </c>
      <c r="C300" s="447" t="s">
        <v>3568</v>
      </c>
      <c r="D300" s="385">
        <f>+'8. Alimentazione SP P'!F232+'8. Alimentazione SP P'!F233</f>
        <v>0</v>
      </c>
      <c r="E300" s="385">
        <f>+'8. Alimentazione SP P'!G232+'8. Alimentazione SP P'!G233</f>
        <v>0</v>
      </c>
      <c r="F300" s="369"/>
      <c r="G300" s="386"/>
    </row>
    <row r="301" spans="1:7" s="387" customFormat="1" ht="24.95" customHeight="1">
      <c r="A301" s="382"/>
      <c r="B301" s="446" t="s">
        <v>3571</v>
      </c>
      <c r="C301" s="447" t="s">
        <v>3572</v>
      </c>
      <c r="D301" s="385">
        <f>+'8. Alimentazione SP P'!F235+'8. Alimentazione SP P'!F236+'8. Alimentazione SP P'!F237+'8. Alimentazione SP P'!F238+'8. Alimentazione SP P'!F239+'8. Alimentazione SP P'!F240+'8. Alimentazione SP P'!F241+'8. Alimentazione SP P'!F242+'8. Alimentazione SP P'!F243+'8. Alimentazione SP P'!F244+'8. Alimentazione SP P'!F245+'8. Alimentazione SP P'!F246</f>
        <v>1679307.4635999927</v>
      </c>
      <c r="E301" s="385">
        <f>+'8. Alimentazione SP P'!G235+'8. Alimentazione SP P'!G236+'8. Alimentazione SP P'!G237+'8. Alimentazione SP P'!G238+'8. Alimentazione SP P'!G239+'8. Alimentazione SP P'!G240+'8. Alimentazione SP P'!G241+'8. Alimentazione SP P'!G242+'8. Alimentazione SP P'!G243+'8. Alimentazione SP P'!G244+'8. Alimentazione SP P'!G245+'8. Alimentazione SP P'!G246</f>
        <v>703076.72999999986</v>
      </c>
      <c r="F301" s="369"/>
      <c r="G301" s="386"/>
    </row>
    <row r="302" spans="1:7" s="387" customFormat="1" ht="24.95" customHeight="1">
      <c r="A302" s="382"/>
      <c r="B302" s="446" t="s">
        <v>3583</v>
      </c>
      <c r="C302" s="447" t="s">
        <v>3584</v>
      </c>
      <c r="D302" s="385">
        <f>+'8. Alimentazione SP P'!F248+'8. Alimentazione SP P'!F249+'8. Alimentazione SP P'!F250+'8. Alimentazione SP P'!F251+'8. Alimentazione SP P'!F252+'8. Alimentazione SP P'!F253+'8. Alimentazione SP P'!F254+'8. Alimentazione SP P'!F255+'8. Alimentazione SP P'!F256</f>
        <v>442346.82000000007</v>
      </c>
      <c r="E302" s="385">
        <f>+'8. Alimentazione SP P'!G248+'8. Alimentazione SP P'!G249+'8. Alimentazione SP P'!G250+'8. Alimentazione SP P'!G251+'8. Alimentazione SP P'!G252+'8. Alimentazione SP P'!G253+'8. Alimentazione SP P'!G254+'8. Alimentazione SP P'!G255+'8. Alimentazione SP P'!G256</f>
        <v>369659.73</v>
      </c>
      <c r="F302" s="369"/>
      <c r="G302" s="386"/>
    </row>
    <row r="303" spans="1:7" s="387" customFormat="1" ht="24.95" customHeight="1">
      <c r="A303" s="382"/>
      <c r="B303" s="446" t="s">
        <v>3594</v>
      </c>
      <c r="C303" s="447" t="s">
        <v>3595</v>
      </c>
      <c r="D303" s="385">
        <f>+D304+D305+D306+D307</f>
        <v>4329489.66</v>
      </c>
      <c r="E303" s="385">
        <f>+E304+E305+E306+E307</f>
        <v>3503379.5300000003</v>
      </c>
      <c r="F303" s="480" t="s">
        <v>1820</v>
      </c>
      <c r="G303" s="386"/>
    </row>
    <row r="304" spans="1:7" s="387" customFormat="1" ht="24.95" customHeight="1">
      <c r="A304" s="382"/>
      <c r="B304" s="389" t="s">
        <v>3596</v>
      </c>
      <c r="C304" s="390" t="s">
        <v>3597</v>
      </c>
      <c r="D304" s="385">
        <f>+'8. Alimentazione SP P'!F259</f>
        <v>0</v>
      </c>
      <c r="E304" s="385">
        <f>+'8. Alimentazione SP P'!G259</f>
        <v>0</v>
      </c>
      <c r="F304" s="369"/>
      <c r="G304" s="386"/>
    </row>
    <row r="305" spans="1:7" s="387" customFormat="1" ht="24.95" customHeight="1">
      <c r="A305" s="382"/>
      <c r="B305" s="389" t="s">
        <v>3599</v>
      </c>
      <c r="C305" s="390" t="s">
        <v>3600</v>
      </c>
      <c r="D305" s="385">
        <f>+'8. Alimentazione SP P'!F261+'8. Alimentazione SP P'!F262</f>
        <v>1835498.15</v>
      </c>
      <c r="E305" s="385">
        <f>+'8. Alimentazione SP P'!G261+'8. Alimentazione SP P'!G262</f>
        <v>2091685.52</v>
      </c>
      <c r="F305" s="369"/>
      <c r="G305" s="386"/>
    </row>
    <row r="306" spans="1:7" s="387" customFormat="1" ht="24.95" customHeight="1">
      <c r="A306" s="382"/>
      <c r="B306" s="389" t="s">
        <v>3603</v>
      </c>
      <c r="C306" s="390" t="s">
        <v>3604</v>
      </c>
      <c r="D306" s="385">
        <f>+'8. Alimentazione SP P'!F264+'8. Alimentazione SP P'!F265</f>
        <v>0</v>
      </c>
      <c r="E306" s="385">
        <f>+'8. Alimentazione SP P'!G264+'8. Alimentazione SP P'!G265</f>
        <v>0</v>
      </c>
      <c r="F306" s="369"/>
      <c r="G306" s="386"/>
    </row>
    <row r="307" spans="1:7" s="387" customFormat="1" ht="24.95" customHeight="1" thickBot="1">
      <c r="A307" s="392"/>
      <c r="B307" s="430" t="s">
        <v>3607</v>
      </c>
      <c r="C307" s="431" t="s">
        <v>3608</v>
      </c>
      <c r="D307" s="385">
        <f>+'8. Alimentazione SP P'!F267+'8. Alimentazione SP P'!F268+'8. Alimentazione SP P'!F269+'8. Alimentazione SP P'!F270+'8. Alimentazione SP P'!F272+'8. Alimentazione SP P'!F273+'8. Alimentazione SP P'!F274+'8. Alimentazione SP P'!F275+'8. Alimentazione SP P'!F276+'8. Alimentazione SP P'!F278+'8. Alimentazione SP P'!F279+'8. Alimentazione SP P'!F280+'8. Alimentazione SP P'!F281+'8. Alimentazione SP P'!F283+'8. Alimentazione SP P'!F284+'8. Alimentazione SP P'!F285+'8. Alimentazione SP P'!F286</f>
        <v>2493991.5100000007</v>
      </c>
      <c r="E307" s="385">
        <f>+'8. Alimentazione SP P'!G267+'8. Alimentazione SP P'!G268+'8. Alimentazione SP P'!G269+'8. Alimentazione SP P'!G270+'8. Alimentazione SP P'!G272+'8. Alimentazione SP P'!G273+'8. Alimentazione SP P'!G274+'8. Alimentazione SP P'!G275+'8. Alimentazione SP P'!G276+'8. Alimentazione SP P'!G278+'8. Alimentazione SP P'!G279+'8. Alimentazione SP P'!G280+'8. Alimentazione SP P'!G281+'8. Alimentazione SP P'!G283+'8. Alimentazione SP P'!G284+'8. Alimentazione SP P'!G285+'8. Alimentazione SP P'!G286</f>
        <v>1411694.0100000002</v>
      </c>
      <c r="F307" s="404"/>
      <c r="G307" s="416"/>
    </row>
    <row r="308" spans="1:7" s="387" customFormat="1" ht="24.95" customHeight="1">
      <c r="A308" s="438"/>
      <c r="B308" s="366" t="s">
        <v>3629</v>
      </c>
      <c r="C308" s="367" t="s">
        <v>3630</v>
      </c>
      <c r="D308" s="399">
        <f>+D309+D312</f>
        <v>0</v>
      </c>
      <c r="E308" s="399">
        <f>+E309+E312</f>
        <v>0</v>
      </c>
      <c r="F308" s="369"/>
      <c r="G308" s="386"/>
    </row>
    <row r="309" spans="1:7" s="387" customFormat="1" ht="24.95" customHeight="1">
      <c r="A309" s="382"/>
      <c r="B309" s="446" t="s">
        <v>3631</v>
      </c>
      <c r="C309" s="447" t="s">
        <v>3632</v>
      </c>
      <c r="D309" s="385">
        <f>+D310+D311</f>
        <v>0</v>
      </c>
      <c r="E309" s="385">
        <f>+E310+E311</f>
        <v>0</v>
      </c>
      <c r="F309" s="480" t="s">
        <v>1820</v>
      </c>
      <c r="G309" s="386"/>
    </row>
    <row r="310" spans="1:7" s="387" customFormat="1" ht="24.95" customHeight="1">
      <c r="A310" s="382"/>
      <c r="B310" s="389" t="s">
        <v>3633</v>
      </c>
      <c r="C310" s="390" t="s">
        <v>3634</v>
      </c>
      <c r="D310" s="385">
        <f>+'8. Alimentazione SP P'!F290</f>
        <v>0</v>
      </c>
      <c r="E310" s="385">
        <f>+'8. Alimentazione SP P'!G290</f>
        <v>0</v>
      </c>
      <c r="F310" s="369"/>
      <c r="G310" s="386"/>
    </row>
    <row r="311" spans="1:7" s="387" customFormat="1" ht="24.95" customHeight="1">
      <c r="A311" s="432" t="s">
        <v>1238</v>
      </c>
      <c r="B311" s="389" t="s">
        <v>3636</v>
      </c>
      <c r="C311" s="390" t="s">
        <v>3637</v>
      </c>
      <c r="D311" s="385">
        <f>+'8. Alimentazione SP P'!F292</f>
        <v>0</v>
      </c>
      <c r="E311" s="385">
        <f>+'8. Alimentazione SP P'!G292</f>
        <v>0</v>
      </c>
      <c r="F311" s="369"/>
      <c r="G311" s="386"/>
    </row>
    <row r="312" spans="1:7" s="387" customFormat="1" ht="24.95" customHeight="1">
      <c r="A312" s="382"/>
      <c r="B312" s="446" t="s">
        <v>3639</v>
      </c>
      <c r="C312" s="447" t="s">
        <v>3640</v>
      </c>
      <c r="D312" s="385">
        <f>+D313+D314+D315</f>
        <v>0</v>
      </c>
      <c r="E312" s="385">
        <f>+E313+E314+E315</f>
        <v>0</v>
      </c>
      <c r="F312" s="480" t="s">
        <v>1820</v>
      </c>
      <c r="G312" s="386"/>
    </row>
    <row r="313" spans="1:7" s="387" customFormat="1" ht="24.95" customHeight="1">
      <c r="A313" s="382"/>
      <c r="B313" s="389" t="s">
        <v>3641</v>
      </c>
      <c r="C313" s="390" t="s">
        <v>3642</v>
      </c>
      <c r="D313" s="385">
        <f>+'8. Alimentazione SP P'!F295</f>
        <v>0</v>
      </c>
      <c r="E313" s="385">
        <f>+'8. Alimentazione SP P'!G295</f>
        <v>0</v>
      </c>
      <c r="F313" s="369"/>
      <c r="G313" s="386"/>
    </row>
    <row r="314" spans="1:7" s="387" customFormat="1" ht="24.95" customHeight="1">
      <c r="A314" s="473" t="s">
        <v>1238</v>
      </c>
      <c r="B314" s="454" t="s">
        <v>3644</v>
      </c>
      <c r="C314" s="455" t="s">
        <v>3645</v>
      </c>
      <c r="D314" s="385">
        <f>+'8. Alimentazione SP P'!F297</f>
        <v>0</v>
      </c>
      <c r="E314" s="385">
        <f>+'8. Alimentazione SP P'!G297</f>
        <v>0</v>
      </c>
      <c r="F314" s="369"/>
      <c r="G314" s="386"/>
    </row>
    <row r="315" spans="1:7" s="415" customFormat="1" ht="37.5" customHeight="1">
      <c r="A315" s="382"/>
      <c r="B315" s="389" t="s">
        <v>3647</v>
      </c>
      <c r="C315" s="390" t="s">
        <v>3707</v>
      </c>
      <c r="D315" s="385">
        <f>+'8. Alimentazione SP P'!F299</f>
        <v>0</v>
      </c>
      <c r="E315" s="385">
        <f>+'8. Alimentazione SP P'!G299</f>
        <v>0</v>
      </c>
      <c r="F315" s="369"/>
      <c r="G315" s="386"/>
    </row>
    <row r="316" spans="1:7" s="387" customFormat="1" ht="24.95" customHeight="1" thickBot="1">
      <c r="A316" s="434"/>
      <c r="B316" s="474" t="s">
        <v>3650</v>
      </c>
      <c r="C316" s="475" t="s">
        <v>3651</v>
      </c>
      <c r="D316" s="476">
        <f>+D308+D251+D247+D214+D190</f>
        <v>249702444.95359987</v>
      </c>
      <c r="E316" s="476">
        <f>+E308+E251+E247+E214+E190</f>
        <v>197485657.72000003</v>
      </c>
      <c r="F316" s="369"/>
      <c r="G316" s="386"/>
    </row>
    <row r="317" spans="1:7" s="387" customFormat="1" ht="24.95" customHeight="1">
      <c r="A317" s="438"/>
      <c r="B317" s="366" t="s">
        <v>3652</v>
      </c>
      <c r="C317" s="439" t="s">
        <v>3653</v>
      </c>
      <c r="D317" s="440">
        <f>+D318+D319+D320+D321+D322</f>
        <v>347396.87</v>
      </c>
      <c r="E317" s="440">
        <f>+E318+E319+E320+E321+E322</f>
        <v>347396.87</v>
      </c>
      <c r="F317" s="369"/>
      <c r="G317" s="386"/>
    </row>
    <row r="318" spans="1:7" s="387" customFormat="1" ht="24.95" customHeight="1">
      <c r="A318" s="382"/>
      <c r="B318" s="441" t="s">
        <v>3654</v>
      </c>
      <c r="C318" s="442" t="s">
        <v>3655</v>
      </c>
      <c r="D318" s="385">
        <f>+'8. Alimentazione SP P'!F303</f>
        <v>0</v>
      </c>
      <c r="E318" s="385">
        <f>+'8. Alimentazione SP P'!G303</f>
        <v>0</v>
      </c>
      <c r="F318" s="369"/>
      <c r="G318" s="386"/>
    </row>
    <row r="319" spans="1:7" s="387" customFormat="1" ht="24.95" customHeight="1">
      <c r="A319" s="382"/>
      <c r="B319" s="441" t="s">
        <v>3657</v>
      </c>
      <c r="C319" s="442" t="s">
        <v>3658</v>
      </c>
      <c r="D319" s="385">
        <f>+'8. Alimentazione SP P'!F305</f>
        <v>0</v>
      </c>
      <c r="E319" s="385">
        <f>+'8. Alimentazione SP P'!G305</f>
        <v>0</v>
      </c>
      <c r="F319" s="369"/>
      <c r="G319" s="386"/>
    </row>
    <row r="320" spans="1:7" s="387" customFormat="1" ht="24.95" customHeight="1">
      <c r="A320" s="382"/>
      <c r="B320" s="441" t="s">
        <v>3660</v>
      </c>
      <c r="C320" s="442" t="s">
        <v>3661</v>
      </c>
      <c r="D320" s="385">
        <f>+'8. Alimentazione SP P'!F307</f>
        <v>347396.87</v>
      </c>
      <c r="E320" s="385">
        <f>+'8. Alimentazione SP P'!G307</f>
        <v>347396.87</v>
      </c>
      <c r="F320" s="369"/>
      <c r="G320" s="386"/>
    </row>
    <row r="321" spans="1:7" s="387" customFormat="1" ht="24.95" customHeight="1">
      <c r="A321" s="443"/>
      <c r="B321" s="441" t="s">
        <v>3663</v>
      </c>
      <c r="C321" s="442" t="s">
        <v>3664</v>
      </c>
      <c r="D321" s="385">
        <f>+'8. Alimentazione SP P'!F309</f>
        <v>0</v>
      </c>
      <c r="E321" s="385">
        <f>+'8. Alimentazione SP P'!G309</f>
        <v>0</v>
      </c>
      <c r="F321" s="369"/>
      <c r="G321" s="386"/>
    </row>
    <row r="322" spans="1:7" s="387" customFormat="1" ht="24.95" customHeight="1" thickBot="1">
      <c r="A322" s="392"/>
      <c r="B322" s="444" t="s">
        <v>3666</v>
      </c>
      <c r="C322" s="445" t="s">
        <v>3667</v>
      </c>
      <c r="D322" s="477">
        <f>+SUM('8. Alimentazione SP P'!F311:F315)</f>
        <v>0</v>
      </c>
      <c r="E322" s="477">
        <f>+SUM('8. Alimentazione SP P'!G311:G315)</f>
        <v>0</v>
      </c>
      <c r="F322" s="369"/>
      <c r="G322" s="386"/>
    </row>
  </sheetData>
  <autoFilter ref="A5:E5"/>
  <pageMargins left="0.70866141732283472" right="0.70866141732283472" top="0.74803149606299213" bottom="0.74803149606299213" header="0.31496062992125984" footer="0.31496062992125984"/>
  <pageSetup paperSize="9" scale="54" firstPageNumber="117" fitToHeight="10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9"/>
  <sheetViews>
    <sheetView topLeftCell="A49" zoomScaleNormal="100" workbookViewId="0">
      <selection activeCell="H448" sqref="H448"/>
    </sheetView>
  </sheetViews>
  <sheetFormatPr defaultColWidth="16.7109375" defaultRowHeight="12.75"/>
  <cols>
    <col min="1" max="1" width="8.5703125" customWidth="1"/>
    <col min="3" max="3" width="52" customWidth="1"/>
    <col min="4" max="4" width="21.5703125" customWidth="1"/>
    <col min="5" max="5" width="21.85546875" bestFit="1" customWidth="1"/>
    <col min="6" max="6" width="5" customWidth="1"/>
    <col min="7" max="7" width="4.7109375" customWidth="1"/>
    <col min="8" max="8" width="5.140625" customWidth="1"/>
    <col min="10" max="10" width="19.140625" bestFit="1" customWidth="1"/>
    <col min="11" max="11" width="7.28515625" customWidth="1"/>
    <col min="12" max="12" width="13.28515625" customWidth="1"/>
    <col min="13" max="13" width="8.5703125" hidden="1" customWidth="1"/>
    <col min="14" max="14" width="16.7109375" hidden="1" customWidth="1"/>
    <col min="15" max="15" width="1.28515625" customWidth="1"/>
    <col min="16" max="16" width="16.7109375" hidden="1" customWidth="1"/>
    <col min="18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2" customWidth="1"/>
    <col min="24" max="24" width="3.85546875" customWidth="1"/>
    <col min="25" max="25" width="1.28515625" customWidth="1"/>
    <col min="26" max="26" width="3.42578125" customWidth="1"/>
    <col min="27" max="27" width="2.7109375" customWidth="1"/>
    <col min="28" max="28" width="0.85546875" customWidth="1"/>
  </cols>
  <sheetData>
    <row r="1" spans="1:30" s="55" customFormat="1" ht="15">
      <c r="B1" s="59"/>
      <c r="C1" s="59"/>
      <c r="D1" s="59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6"/>
      <c r="AC1" s="57"/>
    </row>
    <row r="2" spans="1:30" ht="18.75" thickBot="1">
      <c r="A2" s="60"/>
      <c r="B2" s="61"/>
      <c r="C2" s="61"/>
      <c r="D2" s="770" t="s">
        <v>2583</v>
      </c>
      <c r="E2" s="770"/>
      <c r="F2" s="60"/>
      <c r="G2" s="60"/>
      <c r="H2" s="60"/>
      <c r="I2" s="60"/>
      <c r="J2" s="60"/>
      <c r="K2" s="60"/>
      <c r="L2" s="60"/>
      <c r="M2" s="60"/>
      <c r="Y2" s="62"/>
    </row>
    <row r="3" spans="1:30" s="214" customFormat="1" ht="66" customHeight="1" thickBot="1">
      <c r="A3" s="185" t="s">
        <v>1218</v>
      </c>
      <c r="B3" s="63" t="s">
        <v>1219</v>
      </c>
      <c r="C3" s="281" t="s">
        <v>1220</v>
      </c>
      <c r="D3" s="334" t="s">
        <v>2582</v>
      </c>
      <c r="E3" s="212" t="s">
        <v>3674</v>
      </c>
      <c r="F3" s="65"/>
      <c r="G3" s="213"/>
      <c r="H3" s="64"/>
      <c r="I3" s="64"/>
      <c r="J3" s="64"/>
      <c r="K3" s="64"/>
      <c r="L3" s="64"/>
      <c r="M3" s="64"/>
      <c r="N3" s="64"/>
      <c r="O3" s="64"/>
      <c r="P3"/>
      <c r="Q3"/>
      <c r="R3"/>
      <c r="S3"/>
      <c r="T3"/>
      <c r="U3"/>
      <c r="V3"/>
      <c r="W3"/>
      <c r="X3"/>
      <c r="Y3"/>
      <c r="Z3"/>
      <c r="AA3" s="65"/>
      <c r="AB3" s="65"/>
      <c r="AD3" s="215"/>
    </row>
    <row r="4" spans="1:30" ht="18.75">
      <c r="A4" s="186"/>
      <c r="B4" s="95"/>
      <c r="C4" s="96" t="s">
        <v>1814</v>
      </c>
      <c r="D4" s="97"/>
      <c r="E4" s="97"/>
      <c r="F4" s="56"/>
      <c r="G4" s="196"/>
    </row>
    <row r="5" spans="1:30" ht="18.75">
      <c r="A5" s="187"/>
      <c r="B5" s="98" t="s">
        <v>1221</v>
      </c>
      <c r="C5" s="99" t="s">
        <v>1222</v>
      </c>
      <c r="D5" s="100">
        <f t="shared" ref="D5:E5" si="0">(D6+D15+D30+D35)</f>
        <v>63586076.500000007</v>
      </c>
      <c r="E5" s="100">
        <f t="shared" si="0"/>
        <v>44694732.479999997</v>
      </c>
      <c r="F5" s="56" t="s">
        <v>1820</v>
      </c>
      <c r="G5" s="196"/>
      <c r="J5" s="66"/>
    </row>
    <row r="6" spans="1:30" ht="25.5">
      <c r="A6" s="188"/>
      <c r="B6" s="93" t="s">
        <v>1223</v>
      </c>
      <c r="C6" s="94" t="s">
        <v>1224</v>
      </c>
      <c r="D6" s="92">
        <f t="shared" ref="D6:E6" si="1">+D7+D14</f>
        <v>54520669.510000005</v>
      </c>
      <c r="E6" s="92">
        <f t="shared" si="1"/>
        <v>41335630.25</v>
      </c>
      <c r="F6" s="56" t="s">
        <v>1820</v>
      </c>
      <c r="G6" s="196"/>
      <c r="H6" s="70"/>
      <c r="J6" s="66"/>
      <c r="L6" s="70"/>
    </row>
    <row r="7" spans="1:30" ht="25.5">
      <c r="A7" s="187"/>
      <c r="B7" s="104" t="s">
        <v>122</v>
      </c>
      <c r="C7" s="105" t="s">
        <v>1225</v>
      </c>
      <c r="D7" s="106">
        <f t="shared" ref="D7:E7" si="2">+D8+D9+D10+D13</f>
        <v>54520669.510000005</v>
      </c>
      <c r="E7" s="106">
        <f t="shared" si="2"/>
        <v>41335630.25</v>
      </c>
      <c r="F7" s="56" t="s">
        <v>1820</v>
      </c>
      <c r="G7" s="196"/>
      <c r="H7" s="70"/>
      <c r="J7" s="66"/>
      <c r="L7" s="70"/>
    </row>
    <row r="8" spans="1:30" ht="18.75">
      <c r="A8" s="187"/>
      <c r="B8" s="75" t="s">
        <v>123</v>
      </c>
      <c r="C8" s="76" t="s">
        <v>1226</v>
      </c>
      <c r="D8" s="69">
        <f>ROUND('9. Alimentazione CE Ricavi'!E7,2)</f>
        <v>18496634.670000002</v>
      </c>
      <c r="E8" s="69">
        <f>ROUND('9. Alimentazione CE Ricavi'!F7,2)</f>
        <v>18001978</v>
      </c>
      <c r="F8" s="56"/>
      <c r="G8" s="196"/>
      <c r="H8" s="70"/>
      <c r="J8" s="66"/>
      <c r="L8" s="70"/>
    </row>
    <row r="9" spans="1:30" ht="18.75">
      <c r="A9" s="187"/>
      <c r="B9" s="75" t="s">
        <v>125</v>
      </c>
      <c r="C9" s="76" t="s">
        <v>1227</v>
      </c>
      <c r="D9" s="69">
        <f>ROUND('9. Alimentazione CE Ricavi'!E9,2)</f>
        <v>33243034.84</v>
      </c>
      <c r="E9" s="69">
        <f>ROUND('9. Alimentazione CE Ricavi'!F9,2)</f>
        <v>20552652.25</v>
      </c>
      <c r="F9" s="56"/>
      <c r="G9" s="196"/>
      <c r="H9" s="70"/>
      <c r="J9" s="66"/>
      <c r="L9" s="70"/>
    </row>
    <row r="10" spans="1:30" ht="18.75">
      <c r="A10" s="187"/>
      <c r="B10" s="107" t="s">
        <v>126</v>
      </c>
      <c r="C10" s="108" t="s">
        <v>1228</v>
      </c>
      <c r="D10" s="109">
        <f t="shared" ref="D10:E10" si="3">+D11+D12</f>
        <v>2781000</v>
      </c>
      <c r="E10" s="109">
        <f t="shared" si="3"/>
        <v>2781000</v>
      </c>
      <c r="F10" s="56" t="s">
        <v>1820</v>
      </c>
      <c r="G10" s="196"/>
      <c r="H10" s="70"/>
      <c r="J10" s="66"/>
      <c r="L10" s="70"/>
    </row>
    <row r="11" spans="1:30" ht="18.75">
      <c r="A11" s="187"/>
      <c r="B11" s="77" t="s">
        <v>128</v>
      </c>
      <c r="C11" s="78" t="s">
        <v>1229</v>
      </c>
      <c r="D11" s="69">
        <f>ROUND('9. Alimentazione CE Ricavi'!E12,)</f>
        <v>0</v>
      </c>
      <c r="E11" s="69">
        <f>ROUND('9. Alimentazione CE Ricavi'!F12,)</f>
        <v>0</v>
      </c>
      <c r="F11" s="56"/>
      <c r="G11" s="196"/>
      <c r="H11" s="70"/>
      <c r="J11" s="66"/>
      <c r="L11" s="70"/>
    </row>
    <row r="12" spans="1:30" ht="18.75">
      <c r="A12" s="187"/>
      <c r="B12" s="77" t="s">
        <v>130</v>
      </c>
      <c r="C12" s="78" t="s">
        <v>1230</v>
      </c>
      <c r="D12" s="69">
        <f>+ROUND('9. Alimentazione CE Ricavi'!E14,2)</f>
        <v>2781000</v>
      </c>
      <c r="E12" s="69">
        <f>+ROUND('9. Alimentazione CE Ricavi'!F14,2)</f>
        <v>2781000</v>
      </c>
      <c r="F12" s="56"/>
      <c r="G12" s="196"/>
      <c r="H12" s="70"/>
      <c r="J12" s="66"/>
      <c r="L12" s="70"/>
    </row>
    <row r="13" spans="1:30" ht="25.5">
      <c r="A13" s="187"/>
      <c r="B13" s="75" t="s">
        <v>132</v>
      </c>
      <c r="C13" s="76" t="s">
        <v>1231</v>
      </c>
      <c r="D13" s="69">
        <f>ROUND('9. Alimentazione CE Ricavi'!E16,2)</f>
        <v>0</v>
      </c>
      <c r="E13" s="69">
        <f>ROUND('9. Alimentazione CE Ricavi'!F16,2)</f>
        <v>0</v>
      </c>
      <c r="F13" s="56"/>
      <c r="G13" s="196"/>
      <c r="H13" s="70"/>
      <c r="J13" s="66"/>
      <c r="L13" s="70"/>
    </row>
    <row r="14" spans="1:30" ht="25.5">
      <c r="A14" s="187"/>
      <c r="B14" s="104" t="s">
        <v>133</v>
      </c>
      <c r="C14" s="105" t="s">
        <v>1232</v>
      </c>
      <c r="D14" s="106">
        <f>ROUND('9. Alimentazione CE Ricavi'!E18,2)</f>
        <v>0</v>
      </c>
      <c r="E14" s="106">
        <f>ROUND('9. Alimentazione CE Ricavi'!F18,2)</f>
        <v>0</v>
      </c>
      <c r="F14" s="56"/>
      <c r="G14" s="196"/>
      <c r="H14" s="70"/>
      <c r="J14" s="66"/>
      <c r="L14" s="70"/>
    </row>
    <row r="15" spans="1:30" ht="18.75">
      <c r="A15" s="187"/>
      <c r="B15" s="93" t="s">
        <v>135</v>
      </c>
      <c r="C15" s="94" t="s">
        <v>1233</v>
      </c>
      <c r="D15" s="92">
        <f t="shared" ref="D15:E15" si="4">+D16+D21+D24</f>
        <v>9065406.9900000002</v>
      </c>
      <c r="E15" s="92">
        <f t="shared" si="4"/>
        <v>3359102.23</v>
      </c>
      <c r="F15" s="56" t="s">
        <v>1820</v>
      </c>
      <c r="G15" s="196"/>
      <c r="H15" s="70"/>
      <c r="J15" s="66"/>
      <c r="L15" s="70"/>
    </row>
    <row r="16" spans="1:30" ht="18.75">
      <c r="A16" s="187"/>
      <c r="B16" s="104" t="s">
        <v>136</v>
      </c>
      <c r="C16" s="105" t="s">
        <v>1234</v>
      </c>
      <c r="D16" s="106">
        <f t="shared" ref="D16:E16" si="5">+D17+D18+D19+D20</f>
        <v>6726687.8399999999</v>
      </c>
      <c r="E16" s="106">
        <f t="shared" si="5"/>
        <v>3300100.95</v>
      </c>
      <c r="F16" s="56" t="s">
        <v>1820</v>
      </c>
      <c r="G16" s="196"/>
      <c r="H16" s="70"/>
      <c r="J16" s="66"/>
      <c r="L16" s="70"/>
    </row>
    <row r="17" spans="1:12" ht="25.5">
      <c r="A17" s="187"/>
      <c r="B17" s="75" t="s">
        <v>137</v>
      </c>
      <c r="C17" s="76" t="s">
        <v>1235</v>
      </c>
      <c r="D17" s="69">
        <f>ROUND(('9. Alimentazione CE Ricavi'!E22+'9. Alimentazione CE Ricavi'!E23+'9. Alimentazione CE Ricavi'!E24+'9. Alimentazione CE Ricavi'!E25+'9. Alimentazione CE Ricavi'!E26+'9. Alimentazione CE Ricavi'!E27),2)</f>
        <v>6726687.8399999999</v>
      </c>
      <c r="E17" s="69">
        <f>ROUND(('9. Alimentazione CE Ricavi'!F22+'9. Alimentazione CE Ricavi'!F23+'9. Alimentazione CE Ricavi'!F24+'9. Alimentazione CE Ricavi'!F25+'9. Alimentazione CE Ricavi'!F26+'9. Alimentazione CE Ricavi'!F27),2)</f>
        <v>3300100.95</v>
      </c>
      <c r="F17" s="56"/>
      <c r="G17" s="196"/>
      <c r="H17" s="70"/>
      <c r="J17" s="66"/>
      <c r="L17" s="70"/>
    </row>
    <row r="18" spans="1:12" ht="38.25">
      <c r="A18" s="187"/>
      <c r="B18" s="75" t="s">
        <v>144</v>
      </c>
      <c r="C18" s="76" t="s">
        <v>1821</v>
      </c>
      <c r="D18" s="69">
        <f>ROUND('9. Alimentazione CE Ricavi'!E29,2)</f>
        <v>0</v>
      </c>
      <c r="E18" s="69">
        <f>ROUND('9. Alimentazione CE Ricavi'!F29,2)</f>
        <v>0</v>
      </c>
      <c r="F18" s="56"/>
      <c r="G18" s="196"/>
      <c r="H18" s="70"/>
      <c r="J18" s="66"/>
      <c r="L18" s="70"/>
    </row>
    <row r="19" spans="1:12" ht="38.25">
      <c r="A19" s="187"/>
      <c r="B19" s="75" t="s">
        <v>145</v>
      </c>
      <c r="C19" s="76" t="s">
        <v>1822</v>
      </c>
      <c r="D19" s="69">
        <f>ROUND('9. Alimentazione CE Ricavi'!E31,2)</f>
        <v>0</v>
      </c>
      <c r="E19" s="69">
        <f>ROUND('9. Alimentazione CE Ricavi'!F31,2)</f>
        <v>0</v>
      </c>
      <c r="F19" s="56"/>
      <c r="G19" s="196"/>
      <c r="H19" s="70"/>
      <c r="J19" s="66"/>
      <c r="L19" s="70"/>
    </row>
    <row r="20" spans="1:12" ht="25.5">
      <c r="A20" s="187"/>
      <c r="B20" s="75" t="s">
        <v>147</v>
      </c>
      <c r="C20" s="76" t="s">
        <v>1236</v>
      </c>
      <c r="D20" s="69">
        <f>ROUND('9. Alimentazione CE Ricavi'!E33,2)</f>
        <v>0</v>
      </c>
      <c r="E20" s="69">
        <f>ROUND('9. Alimentazione CE Ricavi'!F33,2)</f>
        <v>0</v>
      </c>
      <c r="F20" s="56"/>
      <c r="G20" s="196"/>
      <c r="H20" s="70"/>
      <c r="J20" s="66"/>
      <c r="L20" s="70"/>
    </row>
    <row r="21" spans="1:12" ht="25.5">
      <c r="A21" s="187"/>
      <c r="B21" s="104" t="s">
        <v>148</v>
      </c>
      <c r="C21" s="105" t="s">
        <v>1237</v>
      </c>
      <c r="D21" s="106">
        <f>+D22+D23</f>
        <v>0</v>
      </c>
      <c r="E21" s="106">
        <f t="shared" ref="E21" si="6">+E22+E23</f>
        <v>0</v>
      </c>
      <c r="F21" s="56" t="s">
        <v>1820</v>
      </c>
      <c r="G21" s="196"/>
      <c r="H21" s="70"/>
      <c r="J21" s="66"/>
      <c r="L21" s="70"/>
    </row>
    <row r="22" spans="1:12" ht="25.5">
      <c r="A22" s="187" t="s">
        <v>1238</v>
      </c>
      <c r="B22" s="75" t="s">
        <v>150</v>
      </c>
      <c r="C22" s="76" t="s">
        <v>1239</v>
      </c>
      <c r="D22" s="69">
        <f>ROUND('9. Alimentazione CE Ricavi'!E36,2)</f>
        <v>0</v>
      </c>
      <c r="E22" s="69">
        <f>ROUND('9. Alimentazione CE Ricavi'!F36,2)</f>
        <v>0</v>
      </c>
      <c r="F22" s="56"/>
      <c r="G22" s="196"/>
      <c r="H22" s="70"/>
      <c r="J22" s="66"/>
      <c r="L22" s="70"/>
    </row>
    <row r="23" spans="1:12" ht="25.5">
      <c r="A23" s="187" t="s">
        <v>1238</v>
      </c>
      <c r="B23" s="75" t="s">
        <v>152</v>
      </c>
      <c r="C23" s="76" t="s">
        <v>1240</v>
      </c>
      <c r="D23" s="69">
        <f>ROUND('9. Alimentazione CE Ricavi'!E38,2)</f>
        <v>0</v>
      </c>
      <c r="E23" s="69">
        <f>ROUND('9. Alimentazione CE Ricavi'!F38,2)</f>
        <v>0</v>
      </c>
      <c r="F23" s="56"/>
      <c r="G23" s="196"/>
      <c r="H23" s="70"/>
      <c r="J23" s="66"/>
      <c r="L23" s="70"/>
    </row>
    <row r="24" spans="1:12" ht="25.5">
      <c r="A24" s="189"/>
      <c r="B24" s="104" t="s">
        <v>153</v>
      </c>
      <c r="C24" s="105" t="s">
        <v>1241</v>
      </c>
      <c r="D24" s="106">
        <f t="shared" ref="D24:E24" si="7">+D25+D26+D27+D28+D29</f>
        <v>2338719.15</v>
      </c>
      <c r="E24" s="106">
        <f t="shared" si="7"/>
        <v>59001.279999999999</v>
      </c>
      <c r="F24" s="56" t="s">
        <v>1820</v>
      </c>
      <c r="G24" s="196"/>
      <c r="H24" s="70"/>
      <c r="J24" s="66"/>
      <c r="L24" s="70"/>
    </row>
    <row r="25" spans="1:12" ht="18.75">
      <c r="A25" s="189"/>
      <c r="B25" s="75" t="s">
        <v>155</v>
      </c>
      <c r="C25" s="76" t="s">
        <v>1242</v>
      </c>
      <c r="D25" s="69">
        <f>ROUND('9. Alimentazione CE Ricavi'!E41,2)</f>
        <v>955315.95</v>
      </c>
      <c r="E25" s="69">
        <f>ROUND('9. Alimentazione CE Ricavi'!F41,2)</f>
        <v>59001.279999999999</v>
      </c>
      <c r="F25" s="290"/>
      <c r="G25" s="196"/>
      <c r="H25" s="70"/>
      <c r="J25" s="66"/>
      <c r="L25" s="70"/>
    </row>
    <row r="26" spans="1:12" ht="25.5">
      <c r="A26" s="189"/>
      <c r="B26" s="75" t="s">
        <v>156</v>
      </c>
      <c r="C26" s="76" t="s">
        <v>1243</v>
      </c>
      <c r="D26" s="69">
        <f>ROUND(('9. Alimentazione CE Ricavi'!E43+'9. Alimentazione CE Ricavi'!E44+'9. Alimentazione CE Ricavi'!E45+'9. Alimentazione CE Ricavi'!E46+'9. Alimentazione CE Ricavi'!E47+'9. Alimentazione CE Ricavi'!E48),2)</f>
        <v>1383403.2</v>
      </c>
      <c r="E26" s="69">
        <f>ROUND(('9. Alimentazione CE Ricavi'!F43+'9. Alimentazione CE Ricavi'!F44+'9. Alimentazione CE Ricavi'!F45+'9. Alimentazione CE Ricavi'!F46+'9. Alimentazione CE Ricavi'!F47+'9. Alimentazione CE Ricavi'!F48),2)</f>
        <v>0</v>
      </c>
      <c r="F26" s="290"/>
      <c r="G26" s="196"/>
      <c r="H26" s="70"/>
      <c r="J26" s="66"/>
      <c r="L26" s="70"/>
    </row>
    <row r="27" spans="1:12" ht="25.5">
      <c r="A27" s="189"/>
      <c r="B27" s="75" t="s">
        <v>164</v>
      </c>
      <c r="C27" s="76" t="s">
        <v>1244</v>
      </c>
      <c r="D27" s="69">
        <f>ROUND('9. Alimentazione CE Ricavi'!E50,2)</f>
        <v>0</v>
      </c>
      <c r="E27" s="69">
        <f>ROUND('9. Alimentazione CE Ricavi'!F50,2)</f>
        <v>0</v>
      </c>
      <c r="F27" s="290"/>
      <c r="G27" s="196"/>
      <c r="H27" s="70"/>
      <c r="J27" s="66"/>
      <c r="L27" s="70"/>
    </row>
    <row r="28" spans="1:12" ht="25.5">
      <c r="A28" s="189"/>
      <c r="B28" s="75" t="s">
        <v>166</v>
      </c>
      <c r="C28" s="76" t="s">
        <v>1245</v>
      </c>
      <c r="D28" s="69">
        <f>ROUND('9. Alimentazione CE Ricavi'!E52,2)</f>
        <v>0</v>
      </c>
      <c r="E28" s="69">
        <f>ROUND('9. Alimentazione CE Ricavi'!F52,2)</f>
        <v>0</v>
      </c>
      <c r="F28" s="290"/>
      <c r="G28" s="196"/>
      <c r="H28" s="70"/>
      <c r="J28" s="66"/>
      <c r="L28" s="70"/>
    </row>
    <row r="29" spans="1:12" ht="51">
      <c r="A29" s="189"/>
      <c r="B29" s="75" t="s">
        <v>168</v>
      </c>
      <c r="C29" s="76" t="s">
        <v>1246</v>
      </c>
      <c r="D29" s="69">
        <f>ROUND('9. Alimentazione CE Ricavi'!E54,2)</f>
        <v>0</v>
      </c>
      <c r="E29" s="69">
        <f>ROUND('9. Alimentazione CE Ricavi'!F54,2)</f>
        <v>0</v>
      </c>
      <c r="F29" s="290"/>
      <c r="G29" s="196"/>
      <c r="H29" s="70"/>
      <c r="J29" s="66"/>
      <c r="L29" s="70"/>
    </row>
    <row r="30" spans="1:12" ht="18.75">
      <c r="A30" s="187"/>
      <c r="B30" s="93" t="s">
        <v>169</v>
      </c>
      <c r="C30" s="94" t="s">
        <v>1247</v>
      </c>
      <c r="D30" s="92">
        <f t="shared" ref="D30:E30" si="8">+D31+D32+D33+D34</f>
        <v>0</v>
      </c>
      <c r="E30" s="92">
        <f t="shared" si="8"/>
        <v>0</v>
      </c>
      <c r="F30" s="56" t="s">
        <v>1820</v>
      </c>
      <c r="G30" s="196"/>
      <c r="H30" s="70"/>
      <c r="J30" s="66"/>
      <c r="L30" s="70"/>
    </row>
    <row r="31" spans="1:12" ht="25.5">
      <c r="A31" s="187"/>
      <c r="B31" s="73" t="s">
        <v>171</v>
      </c>
      <c r="C31" s="74" t="s">
        <v>1248</v>
      </c>
      <c r="D31" s="69">
        <f>ROUND('9. Alimentazione CE Ricavi'!E57,2)</f>
        <v>0</v>
      </c>
      <c r="E31" s="69">
        <f>ROUND('9. Alimentazione CE Ricavi'!F57,2)</f>
        <v>0</v>
      </c>
      <c r="F31" s="56"/>
      <c r="G31" s="196"/>
      <c r="H31" s="70"/>
      <c r="J31" s="66"/>
      <c r="L31" s="70"/>
    </row>
    <row r="32" spans="1:12" ht="25.5">
      <c r="A32" s="187"/>
      <c r="B32" s="73" t="s">
        <v>173</v>
      </c>
      <c r="C32" s="74" t="s">
        <v>1249</v>
      </c>
      <c r="D32" s="69">
        <f>ROUND('9. Alimentazione CE Ricavi'!E59,2)</f>
        <v>0</v>
      </c>
      <c r="E32" s="69">
        <f>ROUND('9. Alimentazione CE Ricavi'!F59,2)</f>
        <v>0</v>
      </c>
      <c r="F32" s="56"/>
      <c r="G32" s="196"/>
      <c r="H32" s="70"/>
      <c r="J32" s="66"/>
      <c r="L32" s="70"/>
    </row>
    <row r="33" spans="1:12" ht="25.5">
      <c r="A33" s="187"/>
      <c r="B33" s="73" t="s">
        <v>174</v>
      </c>
      <c r="C33" s="74" t="s">
        <v>1250</v>
      </c>
      <c r="D33" s="69">
        <f>ROUND(('9. Alimentazione CE Ricavi'!E61+'9. Alimentazione CE Ricavi'!E62),2)</f>
        <v>0</v>
      </c>
      <c r="E33" s="69">
        <f>ROUND(('9. Alimentazione CE Ricavi'!F61+'9. Alimentazione CE Ricavi'!F62),2)</f>
        <v>0</v>
      </c>
      <c r="F33" s="56"/>
      <c r="G33" s="196"/>
      <c r="H33" s="70"/>
      <c r="J33" s="66"/>
      <c r="L33" s="70"/>
    </row>
    <row r="34" spans="1:12" ht="18.75">
      <c r="A34" s="187"/>
      <c r="B34" s="73" t="s">
        <v>178</v>
      </c>
      <c r="C34" s="74" t="s">
        <v>1251</v>
      </c>
      <c r="D34" s="69">
        <f>ROUND('9. Alimentazione CE Ricavi'!E64,2)</f>
        <v>0</v>
      </c>
      <c r="E34" s="69">
        <f>ROUND('9. Alimentazione CE Ricavi'!F64,2)</f>
        <v>0</v>
      </c>
      <c r="F34" s="56"/>
      <c r="G34" s="196"/>
      <c r="H34" s="70"/>
      <c r="J34" s="66"/>
      <c r="L34" s="70"/>
    </row>
    <row r="35" spans="1:12" ht="18.75">
      <c r="A35" s="187"/>
      <c r="B35" s="93" t="s">
        <v>180</v>
      </c>
      <c r="C35" s="94" t="s">
        <v>1252</v>
      </c>
      <c r="D35" s="92">
        <f>ROUND('9. Alimentazione CE Ricavi'!E66,2)</f>
        <v>0</v>
      </c>
      <c r="E35" s="92">
        <f>ROUND('9. Alimentazione CE Ricavi'!F66,2)</f>
        <v>0</v>
      </c>
      <c r="F35" s="56"/>
      <c r="G35" s="196"/>
      <c r="H35" s="70"/>
      <c r="J35" s="66"/>
      <c r="L35" s="70"/>
    </row>
    <row r="36" spans="1:12" ht="25.5">
      <c r="A36" s="187"/>
      <c r="B36" s="98" t="s">
        <v>181</v>
      </c>
      <c r="C36" s="99" t="s">
        <v>1253</v>
      </c>
      <c r="D36" s="100">
        <f t="shared" ref="D36:E36" si="9">+D37+D38</f>
        <v>0</v>
      </c>
      <c r="E36" s="100">
        <f t="shared" si="9"/>
        <v>0</v>
      </c>
      <c r="F36" s="56" t="s">
        <v>1820</v>
      </c>
      <c r="G36" s="196"/>
      <c r="H36" s="70"/>
      <c r="J36" s="66"/>
      <c r="L36" s="70"/>
    </row>
    <row r="37" spans="1:12" ht="38.25">
      <c r="A37" s="187"/>
      <c r="B37" s="71" t="s">
        <v>183</v>
      </c>
      <c r="C37" s="72" t="s">
        <v>1254</v>
      </c>
      <c r="D37" s="69">
        <f>ROUND('9. Alimentazione CE Ricavi'!E69,2)</f>
        <v>0</v>
      </c>
      <c r="E37" s="69">
        <f>ROUND('9. Alimentazione CE Ricavi'!F69,2)</f>
        <v>0</v>
      </c>
      <c r="F37" s="56"/>
      <c r="G37" s="196"/>
      <c r="H37" s="70"/>
      <c r="J37" s="66"/>
      <c r="L37" s="70"/>
    </row>
    <row r="38" spans="1:12" ht="25.5">
      <c r="A38" s="187"/>
      <c r="B38" s="71" t="s">
        <v>185</v>
      </c>
      <c r="C38" s="72" t="s">
        <v>1255</v>
      </c>
      <c r="D38" s="69">
        <f>ROUND('9. Alimentazione CE Ricavi'!E71,2)</f>
        <v>0</v>
      </c>
      <c r="E38" s="69">
        <f>ROUND('9. Alimentazione CE Ricavi'!F71,2)</f>
        <v>0</v>
      </c>
      <c r="F38" s="56"/>
      <c r="G38" s="196"/>
      <c r="H38" s="70"/>
      <c r="J38" s="66"/>
      <c r="L38" s="70"/>
    </row>
    <row r="39" spans="1:12" ht="25.5">
      <c r="A39" s="189"/>
      <c r="B39" s="98" t="s">
        <v>186</v>
      </c>
      <c r="C39" s="99" t="s">
        <v>1256</v>
      </c>
      <c r="D39" s="100">
        <f t="shared" ref="D39:E39" si="10">+D40+D41+D42+D43+D44</f>
        <v>714601.74</v>
      </c>
      <c r="E39" s="100">
        <f t="shared" si="10"/>
        <v>503673.59999999998</v>
      </c>
      <c r="F39" s="56" t="s">
        <v>1820</v>
      </c>
      <c r="G39" s="196"/>
      <c r="H39" s="70"/>
      <c r="J39" s="66"/>
      <c r="L39" s="70"/>
    </row>
    <row r="40" spans="1:12" ht="38.25">
      <c r="A40" s="189"/>
      <c r="B40" s="71" t="s">
        <v>188</v>
      </c>
      <c r="C40" s="72" t="s">
        <v>1257</v>
      </c>
      <c r="D40" s="69">
        <f>ROUND('9. Alimentazione CE Ricavi'!E74,2)</f>
        <v>677835.75</v>
      </c>
      <c r="E40" s="69">
        <f>ROUND('9. Alimentazione CE Ricavi'!F74,2)</f>
        <v>212588.15</v>
      </c>
      <c r="F40" s="290"/>
      <c r="G40" s="196"/>
      <c r="H40" s="70"/>
      <c r="J40" s="66"/>
      <c r="L40" s="70"/>
    </row>
    <row r="41" spans="1:12" ht="38.25">
      <c r="A41" s="189"/>
      <c r="B41" s="71" t="s">
        <v>190</v>
      </c>
      <c r="C41" s="72" t="s">
        <v>1258</v>
      </c>
      <c r="D41" s="69">
        <f>ROUND('9. Alimentazione CE Ricavi'!E76,2)</f>
        <v>0</v>
      </c>
      <c r="E41" s="69">
        <f>ROUND('9. Alimentazione CE Ricavi'!F76,2)</f>
        <v>0</v>
      </c>
      <c r="F41" s="290"/>
      <c r="G41" s="196"/>
      <c r="H41" s="70"/>
      <c r="J41" s="66"/>
      <c r="L41" s="70"/>
    </row>
    <row r="42" spans="1:12" ht="38.25">
      <c r="A42" s="189"/>
      <c r="B42" s="71" t="s">
        <v>192</v>
      </c>
      <c r="C42" s="72" t="s">
        <v>1259</v>
      </c>
      <c r="D42" s="69">
        <f>ROUND('9. Alimentazione CE Ricavi'!E78,2)</f>
        <v>36765.99</v>
      </c>
      <c r="E42" s="69">
        <f>ROUND('9. Alimentazione CE Ricavi'!F78,2)</f>
        <v>291085.45</v>
      </c>
      <c r="F42" s="290"/>
      <c r="G42" s="196"/>
      <c r="H42" s="70"/>
      <c r="J42" s="66"/>
      <c r="L42" s="70"/>
    </row>
    <row r="43" spans="1:12" ht="25.5">
      <c r="A43" s="189"/>
      <c r="B43" s="71" t="s">
        <v>194</v>
      </c>
      <c r="C43" s="72" t="s">
        <v>1260</v>
      </c>
      <c r="D43" s="69">
        <f>ROUND('9. Alimentazione CE Ricavi'!E80,2)</f>
        <v>0</v>
      </c>
      <c r="E43" s="69">
        <f>ROUND('9. Alimentazione CE Ricavi'!F80,2)</f>
        <v>0</v>
      </c>
      <c r="F43" s="290"/>
      <c r="G43" s="196"/>
      <c r="H43" s="70"/>
      <c r="J43" s="66"/>
      <c r="L43" s="70"/>
    </row>
    <row r="44" spans="1:12" ht="25.5">
      <c r="A44" s="189"/>
      <c r="B44" s="71" t="s">
        <v>196</v>
      </c>
      <c r="C44" s="72" t="s">
        <v>1261</v>
      </c>
      <c r="D44" s="69">
        <f>ROUND('9. Alimentazione CE Ricavi'!E82,2)</f>
        <v>0</v>
      </c>
      <c r="E44" s="69">
        <f>ROUND('9. Alimentazione CE Ricavi'!F82,2)</f>
        <v>0</v>
      </c>
      <c r="F44" s="290"/>
      <c r="G44" s="196"/>
      <c r="H44" s="70"/>
      <c r="J44" s="66"/>
      <c r="L44" s="70"/>
    </row>
    <row r="45" spans="1:12" ht="25.5">
      <c r="A45" s="187"/>
      <c r="B45" s="98" t="s">
        <v>1262</v>
      </c>
      <c r="C45" s="99" t="s">
        <v>1263</v>
      </c>
      <c r="D45" s="100">
        <f t="shared" ref="D45:E45" si="11">+D46+D85+D91+D92</f>
        <v>234093.42</v>
      </c>
      <c r="E45" s="100">
        <f t="shared" si="11"/>
        <v>766263.36</v>
      </c>
      <c r="F45" s="56" t="s">
        <v>1820</v>
      </c>
      <c r="G45" s="196"/>
      <c r="H45" s="70"/>
      <c r="J45" s="66"/>
      <c r="L45" s="70"/>
    </row>
    <row r="46" spans="1:12" ht="38.25">
      <c r="A46" s="187"/>
      <c r="B46" s="93" t="s">
        <v>197</v>
      </c>
      <c r="C46" s="94" t="s">
        <v>1264</v>
      </c>
      <c r="D46" s="92">
        <f t="shared" ref="D46:E46" si="12">+D47+D63+D64</f>
        <v>11492.42</v>
      </c>
      <c r="E46" s="92">
        <f t="shared" si="12"/>
        <v>9995.36</v>
      </c>
      <c r="F46" s="56" t="s">
        <v>1820</v>
      </c>
      <c r="G46" s="196"/>
      <c r="H46" s="70"/>
      <c r="J46" s="66"/>
      <c r="L46" s="70"/>
    </row>
    <row r="47" spans="1:12" ht="38.25">
      <c r="A47" s="187" t="s">
        <v>1238</v>
      </c>
      <c r="B47" s="104" t="s">
        <v>198</v>
      </c>
      <c r="C47" s="105" t="s">
        <v>1265</v>
      </c>
      <c r="D47" s="106">
        <f t="shared" ref="D47:E47" si="13">SUM(D48:D62)</f>
        <v>599.41999999999996</v>
      </c>
      <c r="E47" s="106">
        <f t="shared" si="13"/>
        <v>0</v>
      </c>
      <c r="F47" s="56" t="s">
        <v>1820</v>
      </c>
      <c r="G47" s="196"/>
      <c r="H47" s="70"/>
      <c r="J47" s="66"/>
      <c r="L47" s="70"/>
    </row>
    <row r="48" spans="1:12" ht="18.75">
      <c r="A48" s="187" t="s">
        <v>1238</v>
      </c>
      <c r="B48" s="75" t="s">
        <v>200</v>
      </c>
      <c r="C48" s="76" t="s">
        <v>1266</v>
      </c>
      <c r="D48" s="69">
        <f>ROUND(('9. Alimentazione CE Ricavi'!E87+'9. Alimentazione CE Ricavi'!E88),2)</f>
        <v>0</v>
      </c>
      <c r="E48" s="69">
        <f>ROUND(('9. Alimentazione CE Ricavi'!F87+'9. Alimentazione CE Ricavi'!F88),2)</f>
        <v>0</v>
      </c>
      <c r="F48" s="56"/>
      <c r="G48" s="196"/>
      <c r="H48" s="70"/>
      <c r="J48" s="66"/>
      <c r="L48" s="70"/>
    </row>
    <row r="49" spans="1:12" ht="18.75">
      <c r="A49" s="189" t="s">
        <v>1238</v>
      </c>
      <c r="B49" s="75" t="s">
        <v>202</v>
      </c>
      <c r="C49" s="76" t="s">
        <v>1267</v>
      </c>
      <c r="D49" s="69">
        <f>ROUND(('9. Alimentazione CE Ricavi'!E90+'9. Alimentazione CE Ricavi'!E91),2)</f>
        <v>0</v>
      </c>
      <c r="E49" s="69">
        <f>ROUND(('9. Alimentazione CE Ricavi'!F90+'9. Alimentazione CE Ricavi'!F91),2)</f>
        <v>0</v>
      </c>
      <c r="F49" s="290"/>
      <c r="G49" s="196"/>
      <c r="H49" s="70"/>
      <c r="J49" s="66"/>
      <c r="L49" s="70"/>
    </row>
    <row r="50" spans="1:12" ht="25.5">
      <c r="A50" s="189" t="s">
        <v>1238</v>
      </c>
      <c r="B50" s="75" t="s">
        <v>204</v>
      </c>
      <c r="C50" s="76" t="s">
        <v>1268</v>
      </c>
      <c r="D50" s="69">
        <f>ROUND('9. Alimentazione CE Ricavi'!E93,2)</f>
        <v>0</v>
      </c>
      <c r="E50" s="69">
        <f>ROUND('9. Alimentazione CE Ricavi'!F93,2)</f>
        <v>0</v>
      </c>
      <c r="F50" s="290"/>
      <c r="G50" s="196"/>
      <c r="H50" s="70"/>
      <c r="J50" s="66"/>
      <c r="L50" s="70"/>
    </row>
    <row r="51" spans="1:12" ht="25.5">
      <c r="A51" s="189" t="s">
        <v>1238</v>
      </c>
      <c r="B51" s="75" t="s">
        <v>205</v>
      </c>
      <c r="C51" s="76" t="s">
        <v>1269</v>
      </c>
      <c r="D51" s="69">
        <f>ROUND('9. Alimentazione CE Ricavi'!E95,2)</f>
        <v>0</v>
      </c>
      <c r="E51" s="69">
        <f>ROUND('9. Alimentazione CE Ricavi'!F95,2)</f>
        <v>0</v>
      </c>
      <c r="F51" s="290"/>
      <c r="G51" s="196"/>
      <c r="H51" s="70"/>
      <c r="J51" s="66"/>
      <c r="L51" s="70"/>
    </row>
    <row r="52" spans="1:12" ht="18.75">
      <c r="A52" s="189" t="s">
        <v>1238</v>
      </c>
      <c r="B52" s="75" t="s">
        <v>206</v>
      </c>
      <c r="C52" s="76" t="s">
        <v>1270</v>
      </c>
      <c r="D52" s="69">
        <f>ROUND('9. Alimentazione CE Ricavi'!E97,2)</f>
        <v>0</v>
      </c>
      <c r="E52" s="69">
        <f>ROUND('9. Alimentazione CE Ricavi'!F97,2)</f>
        <v>0</v>
      </c>
      <c r="F52" s="290"/>
      <c r="G52" s="196"/>
      <c r="H52" s="70"/>
      <c r="J52" s="66"/>
      <c r="L52" s="70"/>
    </row>
    <row r="53" spans="1:12" ht="25.5">
      <c r="A53" s="189" t="s">
        <v>1238</v>
      </c>
      <c r="B53" s="75" t="s">
        <v>207</v>
      </c>
      <c r="C53" s="76" t="s">
        <v>1271</v>
      </c>
      <c r="D53" s="69">
        <f>ROUND('9. Alimentazione CE Ricavi'!E99,2)</f>
        <v>0</v>
      </c>
      <c r="E53" s="69">
        <f>ROUND('9. Alimentazione CE Ricavi'!F99,2)</f>
        <v>0</v>
      </c>
      <c r="F53" s="290"/>
      <c r="G53" s="196"/>
      <c r="H53" s="70"/>
      <c r="J53" s="66"/>
      <c r="L53" s="70"/>
    </row>
    <row r="54" spans="1:12" ht="18.75">
      <c r="A54" s="189" t="s">
        <v>1238</v>
      </c>
      <c r="B54" s="75" t="s">
        <v>208</v>
      </c>
      <c r="C54" s="76" t="s">
        <v>1272</v>
      </c>
      <c r="D54" s="69">
        <f>ROUND('9. Alimentazione CE Ricavi'!E101,2)</f>
        <v>0</v>
      </c>
      <c r="E54" s="69">
        <f>ROUND('9. Alimentazione CE Ricavi'!F101,2)</f>
        <v>0</v>
      </c>
      <c r="F54" s="290"/>
      <c r="G54" s="196"/>
      <c r="H54" s="70"/>
      <c r="J54" s="66"/>
      <c r="L54" s="70"/>
    </row>
    <row r="55" spans="1:12" ht="18.75">
      <c r="A55" s="189" t="s">
        <v>1238</v>
      </c>
      <c r="B55" s="75" t="s">
        <v>209</v>
      </c>
      <c r="C55" s="76" t="s">
        <v>1273</v>
      </c>
      <c r="D55" s="69">
        <f>ROUND('9. Alimentazione CE Ricavi'!E103,2)</f>
        <v>0</v>
      </c>
      <c r="E55" s="69">
        <f>ROUND('9. Alimentazione CE Ricavi'!F103,2)</f>
        <v>0</v>
      </c>
      <c r="F55" s="290"/>
      <c r="G55" s="196"/>
      <c r="H55" s="70"/>
      <c r="J55" s="66"/>
      <c r="L55" s="70"/>
    </row>
    <row r="56" spans="1:12" ht="18.75">
      <c r="A56" s="189" t="s">
        <v>1238</v>
      </c>
      <c r="B56" s="75" t="s">
        <v>210</v>
      </c>
      <c r="C56" s="76" t="s">
        <v>1274</v>
      </c>
      <c r="D56" s="69">
        <f>ROUND('9. Alimentazione CE Ricavi'!E105,2)</f>
        <v>0</v>
      </c>
      <c r="E56" s="69">
        <f>ROUND('9. Alimentazione CE Ricavi'!F105,2)</f>
        <v>0</v>
      </c>
      <c r="F56" s="290"/>
      <c r="G56" s="196"/>
      <c r="H56" s="70"/>
      <c r="J56" s="66"/>
      <c r="L56" s="70"/>
    </row>
    <row r="57" spans="1:12" ht="18.75">
      <c r="A57" s="189" t="s">
        <v>1238</v>
      </c>
      <c r="B57" s="75" t="s">
        <v>211</v>
      </c>
      <c r="C57" s="76" t="s">
        <v>1275</v>
      </c>
      <c r="D57" s="69">
        <f>ROUND('9. Alimentazione CE Ricavi'!E107,2)</f>
        <v>0</v>
      </c>
      <c r="E57" s="69">
        <f>ROUND('9. Alimentazione CE Ricavi'!F107,2)</f>
        <v>0</v>
      </c>
      <c r="F57" s="290"/>
      <c r="G57" s="196"/>
      <c r="H57" s="70"/>
      <c r="J57" s="66"/>
      <c r="L57" s="70"/>
    </row>
    <row r="58" spans="1:12" ht="18.75">
      <c r="A58" s="189" t="s">
        <v>1238</v>
      </c>
      <c r="B58" s="75" t="s">
        <v>212</v>
      </c>
      <c r="C58" s="76" t="s">
        <v>1276</v>
      </c>
      <c r="D58" s="69">
        <f>ROUND('9. Alimentazione CE Ricavi'!E109,2)</f>
        <v>0</v>
      </c>
      <c r="E58" s="69">
        <f>ROUND('9. Alimentazione CE Ricavi'!F109,2)</f>
        <v>0</v>
      </c>
      <c r="F58" s="291"/>
      <c r="G58" s="196"/>
      <c r="H58" s="70"/>
      <c r="J58" s="66"/>
      <c r="L58" s="70"/>
    </row>
    <row r="59" spans="1:12" ht="25.5">
      <c r="A59" s="187" t="s">
        <v>1238</v>
      </c>
      <c r="B59" s="75" t="s">
        <v>213</v>
      </c>
      <c r="C59" s="76" t="s">
        <v>1277</v>
      </c>
      <c r="D59" s="69">
        <f>ROUND('9. Alimentazione CE Ricavi'!E111,2)</f>
        <v>0</v>
      </c>
      <c r="E59" s="69">
        <f>ROUND('9. Alimentazione CE Ricavi'!F111,2)</f>
        <v>0</v>
      </c>
      <c r="F59" s="291"/>
      <c r="G59" s="196"/>
      <c r="H59" s="70"/>
      <c r="J59" s="66"/>
      <c r="L59" s="70"/>
    </row>
    <row r="60" spans="1:12" ht="25.5">
      <c r="A60" s="187" t="s">
        <v>1238</v>
      </c>
      <c r="B60" s="75" t="s">
        <v>214</v>
      </c>
      <c r="C60" s="76" t="s">
        <v>1278</v>
      </c>
      <c r="D60" s="69">
        <f>ROUND('9. Alimentazione CE Ricavi'!E113,2)</f>
        <v>0</v>
      </c>
      <c r="E60" s="69">
        <f>ROUND('9. Alimentazione CE Ricavi'!F113,2)</f>
        <v>0</v>
      </c>
      <c r="F60" s="291"/>
      <c r="G60" s="196"/>
      <c r="H60" s="70"/>
      <c r="J60" s="66"/>
      <c r="L60" s="70"/>
    </row>
    <row r="61" spans="1:12" ht="25.5">
      <c r="A61" s="187" t="s">
        <v>1238</v>
      </c>
      <c r="B61" s="75" t="s">
        <v>215</v>
      </c>
      <c r="C61" s="76" t="s">
        <v>1279</v>
      </c>
      <c r="D61" s="69">
        <f>ROUND('9. Alimentazione CE Ricavi'!E115,2)</f>
        <v>0</v>
      </c>
      <c r="E61" s="69">
        <f>ROUND('9. Alimentazione CE Ricavi'!F115,2)</f>
        <v>0</v>
      </c>
      <c r="F61" s="291"/>
      <c r="G61" s="196"/>
      <c r="H61" s="70"/>
      <c r="J61" s="66"/>
      <c r="L61" s="70"/>
    </row>
    <row r="62" spans="1:12" ht="25.5">
      <c r="A62" s="187" t="s">
        <v>1238</v>
      </c>
      <c r="B62" s="75" t="s">
        <v>216</v>
      </c>
      <c r="C62" s="76" t="s">
        <v>1280</v>
      </c>
      <c r="D62" s="69">
        <f>ROUND(('9. Alimentazione CE Ricavi'!E117+'9. Alimentazione CE Ricavi'!E118),2)</f>
        <v>599.41999999999996</v>
      </c>
      <c r="E62" s="69">
        <f>ROUND(('9. Alimentazione CE Ricavi'!F117+'9. Alimentazione CE Ricavi'!F118),2)</f>
        <v>0</v>
      </c>
      <c r="F62" s="291"/>
      <c r="G62" s="196"/>
      <c r="H62" s="70"/>
      <c r="J62" s="66"/>
      <c r="L62" s="70"/>
    </row>
    <row r="63" spans="1:12" ht="25.5">
      <c r="A63" s="187"/>
      <c r="B63" s="73" t="s">
        <v>218</v>
      </c>
      <c r="C63" s="74" t="s">
        <v>1281</v>
      </c>
      <c r="D63" s="69">
        <f>ROUND('9. Alimentazione CE Ricavi'!E120,2)</f>
        <v>10893</v>
      </c>
      <c r="E63" s="69">
        <f>ROUND('9. Alimentazione CE Ricavi'!F120,2)</f>
        <v>9995.36</v>
      </c>
      <c r="F63" s="56"/>
      <c r="G63" s="196"/>
      <c r="H63" s="70"/>
      <c r="J63" s="66"/>
      <c r="L63" s="70"/>
    </row>
    <row r="64" spans="1:12" ht="25.5">
      <c r="A64" s="187"/>
      <c r="B64" s="104" t="s">
        <v>219</v>
      </c>
      <c r="C64" s="105" t="s">
        <v>1282</v>
      </c>
      <c r="D64" s="106">
        <f t="shared" ref="D64:E64" si="14">SUM(D65:D79,D82,D83,D84)</f>
        <v>0</v>
      </c>
      <c r="E64" s="106">
        <f t="shared" si="14"/>
        <v>0</v>
      </c>
      <c r="F64" s="56" t="s">
        <v>1820</v>
      </c>
      <c r="G64" s="196"/>
      <c r="H64" s="70"/>
      <c r="J64" s="66"/>
      <c r="L64" s="70"/>
    </row>
    <row r="65" spans="1:12" ht="18.75">
      <c r="A65" s="187" t="s">
        <v>1283</v>
      </c>
      <c r="B65" s="75" t="s">
        <v>220</v>
      </c>
      <c r="C65" s="76" t="s">
        <v>1284</v>
      </c>
      <c r="D65" s="69">
        <f>ROUND('9. Alimentazione CE Ricavi'!E123,2)</f>
        <v>0</v>
      </c>
      <c r="E65" s="69">
        <f>ROUND('9. Alimentazione CE Ricavi'!F123,2)</f>
        <v>0</v>
      </c>
      <c r="F65" s="56"/>
      <c r="G65" s="196"/>
      <c r="H65" s="70"/>
      <c r="J65" s="66"/>
      <c r="L65" s="70"/>
    </row>
    <row r="66" spans="1:12" ht="18.75">
      <c r="A66" s="187" t="s">
        <v>1283</v>
      </c>
      <c r="B66" s="75" t="s">
        <v>223</v>
      </c>
      <c r="C66" s="76" t="s">
        <v>1285</v>
      </c>
      <c r="D66" s="69">
        <f>ROUND('9. Alimentazione CE Ricavi'!E125,2)</f>
        <v>0</v>
      </c>
      <c r="E66" s="69">
        <f>ROUND('9. Alimentazione CE Ricavi'!F125,2)</f>
        <v>0</v>
      </c>
      <c r="F66" s="56"/>
      <c r="G66" s="196"/>
      <c r="H66" s="70"/>
      <c r="J66" s="66"/>
      <c r="L66" s="70"/>
    </row>
    <row r="67" spans="1:12" ht="25.5">
      <c r="A67" s="187" t="s">
        <v>1283</v>
      </c>
      <c r="B67" s="75" t="s">
        <v>225</v>
      </c>
      <c r="C67" s="76" t="s">
        <v>1286</v>
      </c>
      <c r="D67" s="69">
        <f>ROUND('9. Alimentazione CE Ricavi'!E127,2)</f>
        <v>0</v>
      </c>
      <c r="E67" s="69">
        <f>ROUND('9. Alimentazione CE Ricavi'!F127,2)</f>
        <v>0</v>
      </c>
      <c r="F67" s="290"/>
      <c r="G67" s="196"/>
      <c r="H67" s="70"/>
      <c r="J67" s="66"/>
      <c r="L67" s="70"/>
    </row>
    <row r="68" spans="1:12" ht="25.5">
      <c r="A68" s="189" t="s">
        <v>1287</v>
      </c>
      <c r="B68" s="75" t="s">
        <v>226</v>
      </c>
      <c r="C68" s="76" t="s">
        <v>1288</v>
      </c>
      <c r="D68" s="69">
        <f>ROUND('9. Alimentazione CE Ricavi'!E129,2)</f>
        <v>0</v>
      </c>
      <c r="E68" s="69">
        <f>ROUND('9. Alimentazione CE Ricavi'!F129,2)</f>
        <v>0</v>
      </c>
      <c r="F68" s="290"/>
      <c r="G68" s="196"/>
      <c r="H68" s="70"/>
      <c r="J68" s="66"/>
      <c r="L68" s="70"/>
    </row>
    <row r="69" spans="1:12" ht="18.75">
      <c r="A69" s="189" t="s">
        <v>1283</v>
      </c>
      <c r="B69" s="75" t="s">
        <v>227</v>
      </c>
      <c r="C69" s="76" t="s">
        <v>1289</v>
      </c>
      <c r="D69" s="69">
        <f>ROUND('9. Alimentazione CE Ricavi'!E131,2)</f>
        <v>0</v>
      </c>
      <c r="E69" s="69">
        <f>ROUND('9. Alimentazione CE Ricavi'!F131,2)</f>
        <v>0</v>
      </c>
      <c r="F69" s="56"/>
      <c r="G69" s="196"/>
      <c r="H69" s="70"/>
      <c r="J69" s="66"/>
      <c r="L69" s="70"/>
    </row>
    <row r="70" spans="1:12" ht="25.5">
      <c r="A70" s="189" t="s">
        <v>1283</v>
      </c>
      <c r="B70" s="75" t="s">
        <v>229</v>
      </c>
      <c r="C70" s="76" t="s">
        <v>1290</v>
      </c>
      <c r="D70" s="69">
        <f>ROUND('9. Alimentazione CE Ricavi'!E133,2)</f>
        <v>0</v>
      </c>
      <c r="E70" s="69">
        <f>ROUND('9. Alimentazione CE Ricavi'!F133,2)</f>
        <v>0</v>
      </c>
      <c r="F70" s="290"/>
      <c r="G70" s="196"/>
      <c r="H70" s="70"/>
      <c r="J70" s="66"/>
      <c r="L70" s="70"/>
    </row>
    <row r="71" spans="1:12" ht="25.5">
      <c r="A71" s="189" t="s">
        <v>1283</v>
      </c>
      <c r="B71" s="75" t="s">
        <v>231</v>
      </c>
      <c r="C71" s="76" t="s">
        <v>1291</v>
      </c>
      <c r="D71" s="69">
        <f>ROUND('9. Alimentazione CE Ricavi'!E135,2)</f>
        <v>0</v>
      </c>
      <c r="E71" s="69">
        <f>ROUND('9. Alimentazione CE Ricavi'!F135,2)</f>
        <v>0</v>
      </c>
      <c r="F71" s="290"/>
      <c r="G71" s="196"/>
      <c r="H71" s="70"/>
      <c r="J71" s="66"/>
      <c r="L71" s="70"/>
    </row>
    <row r="72" spans="1:12" ht="18.75">
      <c r="A72" s="189" t="s">
        <v>1283</v>
      </c>
      <c r="B72" s="75" t="s">
        <v>233</v>
      </c>
      <c r="C72" s="76" t="s">
        <v>1292</v>
      </c>
      <c r="D72" s="69">
        <f>ROUND('9. Alimentazione CE Ricavi'!E137,2)</f>
        <v>0</v>
      </c>
      <c r="E72" s="69">
        <f>ROUND('9. Alimentazione CE Ricavi'!F137,2)</f>
        <v>0</v>
      </c>
      <c r="F72" s="290"/>
      <c r="G72" s="196"/>
      <c r="H72" s="70"/>
      <c r="J72" s="66"/>
      <c r="L72" s="70"/>
    </row>
    <row r="73" spans="1:12" ht="25.5">
      <c r="A73" s="189" t="s">
        <v>1283</v>
      </c>
      <c r="B73" s="75" t="s">
        <v>235</v>
      </c>
      <c r="C73" s="76" t="s">
        <v>1293</v>
      </c>
      <c r="D73" s="69">
        <f>ROUND('9. Alimentazione CE Ricavi'!E139,2)</f>
        <v>0</v>
      </c>
      <c r="E73" s="69">
        <f>ROUND('9. Alimentazione CE Ricavi'!F139,2)</f>
        <v>0</v>
      </c>
      <c r="F73" s="290"/>
      <c r="G73" s="196"/>
      <c r="H73" s="70"/>
      <c r="J73" s="66"/>
      <c r="L73" s="70"/>
    </row>
    <row r="74" spans="1:12" ht="25.5">
      <c r="A74" s="189" t="s">
        <v>1287</v>
      </c>
      <c r="B74" s="75" t="s">
        <v>237</v>
      </c>
      <c r="C74" s="76" t="s">
        <v>1294</v>
      </c>
      <c r="D74" s="69">
        <f>ROUND('9. Alimentazione CE Ricavi'!E141,2)</f>
        <v>0</v>
      </c>
      <c r="E74" s="69">
        <f>ROUND('9. Alimentazione CE Ricavi'!F141,2)</f>
        <v>0</v>
      </c>
      <c r="F74" s="290"/>
      <c r="G74" s="196"/>
      <c r="H74" s="70"/>
      <c r="J74" s="66"/>
      <c r="L74" s="70"/>
    </row>
    <row r="75" spans="1:12" ht="25.5">
      <c r="A75" s="189" t="s">
        <v>1287</v>
      </c>
      <c r="B75" s="75" t="s">
        <v>239</v>
      </c>
      <c r="C75" s="76" t="s">
        <v>1295</v>
      </c>
      <c r="D75" s="69">
        <f>ROUND('9. Alimentazione CE Ricavi'!E143,2)</f>
        <v>0</v>
      </c>
      <c r="E75" s="69">
        <f>ROUND('9. Alimentazione CE Ricavi'!F143,2)</f>
        <v>0</v>
      </c>
      <c r="F75" s="290"/>
      <c r="G75" s="196"/>
      <c r="H75" s="70"/>
      <c r="J75" s="66"/>
      <c r="L75" s="70"/>
    </row>
    <row r="76" spans="1:12" ht="25.5">
      <c r="A76" s="189" t="s">
        <v>1283</v>
      </c>
      <c r="B76" s="75" t="s">
        <v>241</v>
      </c>
      <c r="C76" s="76" t="s">
        <v>1296</v>
      </c>
      <c r="D76" s="69">
        <f>ROUND('9. Alimentazione CE Ricavi'!E145,2)</f>
        <v>0</v>
      </c>
      <c r="E76" s="69">
        <f>ROUND('9. Alimentazione CE Ricavi'!F145,2)</f>
        <v>0</v>
      </c>
      <c r="F76" s="290"/>
      <c r="G76" s="196"/>
      <c r="H76" s="70"/>
      <c r="J76" s="66"/>
      <c r="L76" s="70"/>
    </row>
    <row r="77" spans="1:12" ht="25.5">
      <c r="A77" s="189" t="s">
        <v>1283</v>
      </c>
      <c r="B77" s="75" t="s">
        <v>242</v>
      </c>
      <c r="C77" s="76" t="s">
        <v>1297</v>
      </c>
      <c r="D77" s="69">
        <f>ROUND('9. Alimentazione CE Ricavi'!E147,2)</f>
        <v>0</v>
      </c>
      <c r="E77" s="69">
        <f>ROUND('9. Alimentazione CE Ricavi'!F147,2)</f>
        <v>0</v>
      </c>
      <c r="F77" s="290"/>
      <c r="G77" s="196"/>
      <c r="H77" s="70"/>
      <c r="J77" s="66"/>
      <c r="L77" s="70"/>
    </row>
    <row r="78" spans="1:12" ht="25.5">
      <c r="A78" s="189" t="s">
        <v>1283</v>
      </c>
      <c r="B78" s="75" t="s">
        <v>245</v>
      </c>
      <c r="C78" s="76" t="s">
        <v>1298</v>
      </c>
      <c r="D78" s="69">
        <f>ROUND('9. Alimentazione CE Ricavi'!E149,2)</f>
        <v>0</v>
      </c>
      <c r="E78" s="69">
        <f>ROUND('9. Alimentazione CE Ricavi'!F149,2)</f>
        <v>0</v>
      </c>
      <c r="F78" s="290"/>
      <c r="G78" s="196"/>
      <c r="H78" s="70"/>
      <c r="J78" s="66"/>
      <c r="L78" s="70"/>
    </row>
    <row r="79" spans="1:12" ht="38.25">
      <c r="A79" s="189" t="s">
        <v>1287</v>
      </c>
      <c r="B79" s="107" t="s">
        <v>246</v>
      </c>
      <c r="C79" s="108" t="s">
        <v>1299</v>
      </c>
      <c r="D79" s="109">
        <f t="shared" ref="D79:E79" si="15">+D80+D81</f>
        <v>0</v>
      </c>
      <c r="E79" s="109">
        <f t="shared" si="15"/>
        <v>0</v>
      </c>
      <c r="F79" s="56" t="s">
        <v>1820</v>
      </c>
      <c r="G79" s="196"/>
      <c r="H79" s="70"/>
      <c r="J79" s="66"/>
      <c r="L79" s="70"/>
    </row>
    <row r="80" spans="1:12" ht="25.5">
      <c r="A80" s="189" t="s">
        <v>1287</v>
      </c>
      <c r="B80" s="73" t="s">
        <v>248</v>
      </c>
      <c r="C80" s="74" t="s">
        <v>1300</v>
      </c>
      <c r="D80" s="69">
        <f>ROUND('9. Alimentazione CE Ricavi'!E152,2)</f>
        <v>0</v>
      </c>
      <c r="E80" s="69">
        <f>ROUND('9. Alimentazione CE Ricavi'!F152,2)</f>
        <v>0</v>
      </c>
      <c r="F80" s="290"/>
      <c r="G80" s="196"/>
      <c r="H80" s="70"/>
      <c r="J80" s="66"/>
      <c r="L80" s="70"/>
    </row>
    <row r="81" spans="1:12" ht="38.25">
      <c r="A81" s="189" t="s">
        <v>1287</v>
      </c>
      <c r="B81" s="73" t="s">
        <v>250</v>
      </c>
      <c r="C81" s="74" t="s">
        <v>1301</v>
      </c>
      <c r="D81" s="69">
        <f>ROUND(('9. Alimentazione CE Ricavi'!E154+'9. Alimentazione CE Ricavi'!E155+'9. Alimentazione CE Ricavi'!E156+'9. Alimentazione CE Ricavi'!E157),2)</f>
        <v>0</v>
      </c>
      <c r="E81" s="69">
        <f>ROUND(('9. Alimentazione CE Ricavi'!F154+'9. Alimentazione CE Ricavi'!F155+'9. Alimentazione CE Ricavi'!F156+'9. Alimentazione CE Ricavi'!F157),2)</f>
        <v>0</v>
      </c>
      <c r="F81" s="290"/>
      <c r="G81" s="196"/>
      <c r="H81" s="70"/>
      <c r="J81" s="66"/>
      <c r="L81" s="70"/>
    </row>
    <row r="82" spans="1:12" ht="25.5">
      <c r="A82" s="189"/>
      <c r="B82" s="75" t="s">
        <v>252</v>
      </c>
      <c r="C82" s="76" t="s">
        <v>1302</v>
      </c>
      <c r="D82" s="69">
        <f>ROUND('9. Alimentazione CE Ricavi'!E159,2)</f>
        <v>0</v>
      </c>
      <c r="E82" s="69">
        <f>ROUND('9. Alimentazione CE Ricavi'!F159,2)</f>
        <v>0</v>
      </c>
      <c r="F82" s="290"/>
      <c r="G82" s="196"/>
      <c r="H82" s="70"/>
      <c r="J82" s="66"/>
      <c r="L82" s="70"/>
    </row>
    <row r="83" spans="1:12" ht="25.5">
      <c r="A83" s="187" t="s">
        <v>1238</v>
      </c>
      <c r="B83" s="75" t="s">
        <v>254</v>
      </c>
      <c r="C83" s="76" t="s">
        <v>1303</v>
      </c>
      <c r="D83" s="69">
        <f>ROUND('9. Alimentazione CE Ricavi'!E161,2)</f>
        <v>0</v>
      </c>
      <c r="E83" s="69">
        <f>ROUND('9. Alimentazione CE Ricavi'!F161,2)</f>
        <v>0</v>
      </c>
      <c r="F83" s="290"/>
      <c r="G83" s="196"/>
      <c r="H83" s="70"/>
      <c r="J83" s="66"/>
      <c r="L83" s="70"/>
    </row>
    <row r="84" spans="1:12" ht="38.25">
      <c r="A84" s="187" t="s">
        <v>1287</v>
      </c>
      <c r="B84" s="75" t="s">
        <v>256</v>
      </c>
      <c r="C84" s="76" t="s">
        <v>1304</v>
      </c>
      <c r="D84" s="69">
        <f>ROUND('9. Alimentazione CE Ricavi'!E163,2)</f>
        <v>0</v>
      </c>
      <c r="E84" s="69">
        <f>ROUND('9. Alimentazione CE Ricavi'!F163,2)</f>
        <v>0</v>
      </c>
      <c r="F84" s="290"/>
      <c r="G84" s="196"/>
      <c r="H84" s="70"/>
      <c r="J84" s="66"/>
      <c r="L84" s="70"/>
    </row>
    <row r="85" spans="1:12" ht="51">
      <c r="A85" s="190" t="s">
        <v>1283</v>
      </c>
      <c r="B85" s="93" t="s">
        <v>257</v>
      </c>
      <c r="C85" s="94" t="s">
        <v>1305</v>
      </c>
      <c r="D85" s="92">
        <f t="shared" ref="D85:E85" si="16">SUM(D86:D90)</f>
        <v>0</v>
      </c>
      <c r="E85" s="92">
        <f t="shared" si="16"/>
        <v>0</v>
      </c>
      <c r="F85" s="56" t="s">
        <v>1820</v>
      </c>
      <c r="G85" s="196"/>
      <c r="H85" s="70"/>
      <c r="J85" s="66"/>
      <c r="L85" s="70"/>
    </row>
    <row r="86" spans="1:12" ht="25.5">
      <c r="A86" s="189" t="s">
        <v>1283</v>
      </c>
      <c r="B86" s="75" t="s">
        <v>259</v>
      </c>
      <c r="C86" s="76" t="s">
        <v>1306</v>
      </c>
      <c r="D86" s="69">
        <f>ROUND('9. Alimentazione CE Ricavi'!E166,2)</f>
        <v>0</v>
      </c>
      <c r="E86" s="69">
        <f>ROUND('9. Alimentazione CE Ricavi'!F166,2)</f>
        <v>0</v>
      </c>
      <c r="F86" s="290"/>
      <c r="G86" s="196"/>
      <c r="H86" s="70"/>
      <c r="J86" s="66"/>
      <c r="L86" s="70"/>
    </row>
    <row r="87" spans="1:12" ht="25.5">
      <c r="A87" s="189" t="s">
        <v>1283</v>
      </c>
      <c r="B87" s="73" t="s">
        <v>261</v>
      </c>
      <c r="C87" s="74" t="s">
        <v>1307</v>
      </c>
      <c r="D87" s="69">
        <f>ROUND('9. Alimentazione CE Ricavi'!E168,2)</f>
        <v>0</v>
      </c>
      <c r="E87" s="69">
        <f>ROUND('9. Alimentazione CE Ricavi'!F168,2)</f>
        <v>0</v>
      </c>
      <c r="F87" s="290"/>
      <c r="G87" s="196"/>
      <c r="H87" s="70"/>
      <c r="J87" s="66"/>
      <c r="L87" s="70"/>
    </row>
    <row r="88" spans="1:12" ht="38.25">
      <c r="A88" s="189" t="s">
        <v>1283</v>
      </c>
      <c r="B88" s="73" t="s">
        <v>262</v>
      </c>
      <c r="C88" s="74" t="s">
        <v>1308</v>
      </c>
      <c r="D88" s="69">
        <f>ROUND('9. Alimentazione CE Ricavi'!E170,2)</f>
        <v>0</v>
      </c>
      <c r="E88" s="69">
        <f>ROUND('9. Alimentazione CE Ricavi'!F170,2)</f>
        <v>0</v>
      </c>
      <c r="F88" s="290"/>
      <c r="G88" s="196"/>
      <c r="H88" s="70"/>
      <c r="J88" s="66"/>
      <c r="L88" s="70"/>
    </row>
    <row r="89" spans="1:12" ht="25.5">
      <c r="A89" s="187" t="s">
        <v>1283</v>
      </c>
      <c r="B89" s="73" t="s">
        <v>264</v>
      </c>
      <c r="C89" s="74" t="s">
        <v>1309</v>
      </c>
      <c r="D89" s="69">
        <f>ROUND('9. Alimentazione CE Ricavi'!E172,2)</f>
        <v>0</v>
      </c>
      <c r="E89" s="69">
        <f>ROUND('9. Alimentazione CE Ricavi'!F172,2)</f>
        <v>0</v>
      </c>
      <c r="F89" s="290"/>
      <c r="G89" s="196"/>
      <c r="H89" s="70"/>
      <c r="J89" s="66"/>
      <c r="L89" s="70"/>
    </row>
    <row r="90" spans="1:12" ht="38.25">
      <c r="A90" s="187" t="s">
        <v>1283</v>
      </c>
      <c r="B90" s="73" t="s">
        <v>266</v>
      </c>
      <c r="C90" s="74" t="s">
        <v>1310</v>
      </c>
      <c r="D90" s="69">
        <f>ROUND('9. Alimentazione CE Ricavi'!E174,2)</f>
        <v>0</v>
      </c>
      <c r="E90" s="69">
        <f>ROUND('9. Alimentazione CE Ricavi'!F174,2)</f>
        <v>0</v>
      </c>
      <c r="F90" s="290"/>
      <c r="G90" s="196"/>
      <c r="H90" s="70"/>
      <c r="J90" s="66"/>
      <c r="L90" s="70"/>
    </row>
    <row r="91" spans="1:12" ht="25.5">
      <c r="A91" s="187"/>
      <c r="B91" s="93" t="s">
        <v>267</v>
      </c>
      <c r="C91" s="94" t="s">
        <v>1311</v>
      </c>
      <c r="D91" s="92">
        <f>+ROUND(SUM('9. Alimentazione CE Ricavi'!E177:E211),2)</f>
        <v>222601</v>
      </c>
      <c r="E91" s="92">
        <f>+ROUND(SUM('9. Alimentazione CE Ricavi'!F177:F211),2)</f>
        <v>756268</v>
      </c>
      <c r="F91" s="56"/>
      <c r="G91" s="196"/>
      <c r="H91" s="70"/>
      <c r="J91" s="66"/>
      <c r="L91" s="70"/>
    </row>
    <row r="92" spans="1:12" ht="25.5">
      <c r="A92" s="187"/>
      <c r="B92" s="93" t="s">
        <v>1312</v>
      </c>
      <c r="C92" s="94" t="s">
        <v>1313</v>
      </c>
      <c r="D92" s="92">
        <f t="shared" ref="D92:E92" si="17">SUM(D93:D99)</f>
        <v>0</v>
      </c>
      <c r="E92" s="92">
        <f t="shared" si="17"/>
        <v>0</v>
      </c>
      <c r="F92" s="56" t="s">
        <v>1820</v>
      </c>
      <c r="G92" s="196"/>
      <c r="H92" s="70"/>
      <c r="J92" s="66"/>
      <c r="L92" s="70"/>
    </row>
    <row r="93" spans="1:12" ht="25.5">
      <c r="A93" s="187"/>
      <c r="B93" s="73" t="s">
        <v>302</v>
      </c>
      <c r="C93" s="74" t="s">
        <v>1314</v>
      </c>
      <c r="D93" s="69">
        <f>ROUND('9. Alimentazione CE Ricavi'!E214,2)</f>
        <v>0</v>
      </c>
      <c r="E93" s="69">
        <f>ROUND('9. Alimentazione CE Ricavi'!F214,2)</f>
        <v>0</v>
      </c>
      <c r="F93" s="56"/>
      <c r="G93" s="196"/>
      <c r="H93" s="70"/>
      <c r="J93" s="66"/>
      <c r="L93" s="70"/>
    </row>
    <row r="94" spans="1:12" ht="25.5">
      <c r="A94" s="187"/>
      <c r="B94" s="73" t="s">
        <v>304</v>
      </c>
      <c r="C94" s="74" t="s">
        <v>1315</v>
      </c>
      <c r="D94" s="69">
        <f>ROUND('9. Alimentazione CE Ricavi'!E216,2)</f>
        <v>0</v>
      </c>
      <c r="E94" s="69">
        <f>ROUND('9. Alimentazione CE Ricavi'!F216,2)</f>
        <v>0</v>
      </c>
      <c r="F94" s="56"/>
      <c r="G94" s="196"/>
      <c r="H94" s="70"/>
      <c r="J94" s="66"/>
      <c r="L94" s="70"/>
    </row>
    <row r="95" spans="1:12" ht="25.5">
      <c r="A95" s="187"/>
      <c r="B95" s="73" t="s">
        <v>306</v>
      </c>
      <c r="C95" s="74" t="s">
        <v>1316</v>
      </c>
      <c r="D95" s="69">
        <f>ROUND('9. Alimentazione CE Ricavi'!E218,2)</f>
        <v>0</v>
      </c>
      <c r="E95" s="69">
        <f>ROUND('9. Alimentazione CE Ricavi'!F218,2)</f>
        <v>0</v>
      </c>
      <c r="F95" s="56"/>
      <c r="G95" s="196"/>
      <c r="H95" s="70"/>
      <c r="J95" s="66"/>
      <c r="L95" s="70"/>
    </row>
    <row r="96" spans="1:12" ht="25.5">
      <c r="A96" s="187"/>
      <c r="B96" s="73" t="s">
        <v>308</v>
      </c>
      <c r="C96" s="74" t="s">
        <v>1317</v>
      </c>
      <c r="D96" s="69">
        <f>ROUND('9. Alimentazione CE Ricavi'!E220,2)</f>
        <v>0</v>
      </c>
      <c r="E96" s="69">
        <f>ROUND('9. Alimentazione CE Ricavi'!F220,2)</f>
        <v>0</v>
      </c>
      <c r="F96" s="56"/>
      <c r="G96" s="196"/>
      <c r="H96" s="70"/>
      <c r="J96" s="66"/>
      <c r="L96" s="70"/>
    </row>
    <row r="97" spans="1:12" ht="38.25">
      <c r="A97" s="187" t="s">
        <v>1238</v>
      </c>
      <c r="B97" s="73" t="s">
        <v>310</v>
      </c>
      <c r="C97" s="74" t="s">
        <v>1318</v>
      </c>
      <c r="D97" s="69">
        <f>ROUND('9. Alimentazione CE Ricavi'!E222,2)</f>
        <v>0</v>
      </c>
      <c r="E97" s="69">
        <f>ROUND('9. Alimentazione CE Ricavi'!F222,2)</f>
        <v>0</v>
      </c>
      <c r="F97" s="56"/>
      <c r="G97" s="196"/>
      <c r="H97" s="70"/>
      <c r="J97" s="66"/>
      <c r="L97" s="70"/>
    </row>
    <row r="98" spans="1:12" ht="18.75">
      <c r="A98" s="187"/>
      <c r="B98" s="73" t="s">
        <v>312</v>
      </c>
      <c r="C98" s="74" t="s">
        <v>1319</v>
      </c>
      <c r="D98" s="69">
        <f>ROUND('9. Alimentazione CE Ricavi'!E224,2)</f>
        <v>0</v>
      </c>
      <c r="E98" s="69">
        <f>ROUND('9. Alimentazione CE Ricavi'!F224,2)</f>
        <v>0</v>
      </c>
      <c r="F98" s="56"/>
      <c r="G98" s="196"/>
      <c r="H98" s="70"/>
      <c r="J98" s="66"/>
      <c r="L98" s="70"/>
    </row>
    <row r="99" spans="1:12" ht="25.5">
      <c r="A99" s="187" t="s">
        <v>1238</v>
      </c>
      <c r="B99" s="73" t="s">
        <v>314</v>
      </c>
      <c r="C99" s="74" t="s">
        <v>1320</v>
      </c>
      <c r="D99" s="69">
        <f>ROUND('9. Alimentazione CE Ricavi'!E226,2)</f>
        <v>0</v>
      </c>
      <c r="E99" s="69">
        <f>ROUND('9. Alimentazione CE Ricavi'!F226,2)</f>
        <v>0</v>
      </c>
      <c r="F99" s="56"/>
      <c r="G99" s="196"/>
      <c r="H99" s="70"/>
      <c r="J99" s="66"/>
      <c r="L99" s="70"/>
    </row>
    <row r="100" spans="1:12" ht="18.75">
      <c r="A100" s="187"/>
      <c r="B100" s="98" t="s">
        <v>1321</v>
      </c>
      <c r="C100" s="99" t="s">
        <v>1322</v>
      </c>
      <c r="D100" s="100">
        <f t="shared" ref="D100:E100" si="18">+D101+D102+D105+D110+D114</f>
        <v>443414176.61999989</v>
      </c>
      <c r="E100" s="100">
        <f t="shared" si="18"/>
        <v>411729960.19</v>
      </c>
      <c r="F100" s="56"/>
      <c r="G100" s="196"/>
      <c r="H100" s="70"/>
      <c r="J100" s="66"/>
      <c r="L100" s="70"/>
    </row>
    <row r="101" spans="1:12" ht="18.75">
      <c r="A101" s="187"/>
      <c r="B101" s="71" t="s">
        <v>316</v>
      </c>
      <c r="C101" s="72" t="s">
        <v>1323</v>
      </c>
      <c r="D101" s="69">
        <f>ROUND('9. Alimentazione CE Ricavi'!E229,2)</f>
        <v>1106.94</v>
      </c>
      <c r="E101" s="69">
        <f>ROUND('9. Alimentazione CE Ricavi'!F229,2)</f>
        <v>0</v>
      </c>
      <c r="F101" s="56"/>
      <c r="G101" s="196"/>
      <c r="H101" s="70"/>
      <c r="J101" s="66"/>
      <c r="L101" s="70"/>
    </row>
    <row r="102" spans="1:12" ht="18.75">
      <c r="A102" s="191"/>
      <c r="B102" s="93" t="s">
        <v>1324</v>
      </c>
      <c r="C102" s="94" t="s">
        <v>1325</v>
      </c>
      <c r="D102" s="92">
        <f t="shared" ref="D102:E102" si="19">+D103+D104</f>
        <v>0</v>
      </c>
      <c r="E102" s="92">
        <f t="shared" si="19"/>
        <v>30822.51</v>
      </c>
      <c r="F102" s="56" t="s">
        <v>1820</v>
      </c>
      <c r="G102" s="196"/>
      <c r="H102" s="70"/>
      <c r="J102" s="66"/>
      <c r="L102" s="70"/>
    </row>
    <row r="103" spans="1:12" ht="25.5">
      <c r="A103" s="191"/>
      <c r="B103" s="73" t="s">
        <v>318</v>
      </c>
      <c r="C103" s="74" t="s">
        <v>1326</v>
      </c>
      <c r="D103" s="69">
        <f>ROUND('9. Alimentazione CE Ricavi'!E232,2)</f>
        <v>0</v>
      </c>
      <c r="E103" s="69">
        <f>ROUND('9. Alimentazione CE Ricavi'!F232,2)</f>
        <v>30822.51</v>
      </c>
      <c r="F103" s="56"/>
      <c r="G103" s="196"/>
      <c r="H103" s="70"/>
      <c r="J103" s="66"/>
      <c r="L103" s="70"/>
    </row>
    <row r="104" spans="1:12" ht="25.5">
      <c r="A104" s="191"/>
      <c r="B104" s="73" t="s">
        <v>320</v>
      </c>
      <c r="C104" s="74" t="s">
        <v>1327</v>
      </c>
      <c r="D104" s="69">
        <f>ROUND('9. Alimentazione CE Ricavi'!E234,2)</f>
        <v>0</v>
      </c>
      <c r="E104" s="69">
        <f>ROUND('9. Alimentazione CE Ricavi'!F234,2)</f>
        <v>0</v>
      </c>
      <c r="F104" s="56"/>
      <c r="G104" s="196"/>
      <c r="H104" s="70"/>
      <c r="J104" s="66"/>
      <c r="L104" s="70"/>
    </row>
    <row r="105" spans="1:12" ht="25.5">
      <c r="A105" s="190" t="s">
        <v>1238</v>
      </c>
      <c r="B105" s="93" t="s">
        <v>1328</v>
      </c>
      <c r="C105" s="94" t="s">
        <v>1329</v>
      </c>
      <c r="D105" s="92">
        <f t="shared" ref="D105:E105" si="20">+D106+D107+D108+D109</f>
        <v>441537521.61999995</v>
      </c>
      <c r="E105" s="92">
        <f t="shared" si="20"/>
        <v>410607575.13999999</v>
      </c>
      <c r="F105" s="56" t="s">
        <v>1820</v>
      </c>
      <c r="G105" s="196"/>
      <c r="H105" s="70"/>
      <c r="J105" s="66"/>
      <c r="L105" s="70"/>
    </row>
    <row r="106" spans="1:12" ht="38.25">
      <c r="A106" s="187" t="s">
        <v>1238</v>
      </c>
      <c r="B106" s="73" t="s">
        <v>322</v>
      </c>
      <c r="C106" s="74" t="s">
        <v>1330</v>
      </c>
      <c r="D106" s="69">
        <f>ROUND('9. Alimentazione CE Ricavi'!E237,2)</f>
        <v>45358.65</v>
      </c>
      <c r="E106" s="69">
        <f>ROUND('9. Alimentazione CE Ricavi'!F237,2)</f>
        <v>135499.07999999999</v>
      </c>
      <c r="F106" s="56"/>
      <c r="G106" s="196"/>
      <c r="H106" s="70"/>
      <c r="J106" s="66"/>
      <c r="L106" s="70"/>
    </row>
    <row r="107" spans="1:12" ht="25.5">
      <c r="A107" s="187" t="s">
        <v>1238</v>
      </c>
      <c r="B107" s="73" t="s">
        <v>324</v>
      </c>
      <c r="C107" s="74" t="s">
        <v>1331</v>
      </c>
      <c r="D107" s="69">
        <f>ROUND('9. Alimentazione CE Ricavi'!E239,2)</f>
        <v>431217548.94999999</v>
      </c>
      <c r="E107" s="69">
        <f>ROUND('9. Alimentazione CE Ricavi'!F239,2)</f>
        <v>400818663.19999999</v>
      </c>
      <c r="F107" s="56"/>
      <c r="G107" s="196"/>
      <c r="H107" s="70"/>
      <c r="J107" s="66"/>
      <c r="L107" s="70"/>
    </row>
    <row r="108" spans="1:12" ht="25.5">
      <c r="A108" s="187" t="s">
        <v>1238</v>
      </c>
      <c r="B108" s="73" t="s">
        <v>325</v>
      </c>
      <c r="C108" s="74" t="s">
        <v>1332</v>
      </c>
      <c r="D108" s="69">
        <f>ROUND(('9. Alimentazione CE Ricavi'!E241+'9. Alimentazione CE Ricavi'!E242+'9. Alimentazione CE Ricavi'!E243),2)</f>
        <v>10274614.02</v>
      </c>
      <c r="E108" s="69">
        <f>ROUND(('9. Alimentazione CE Ricavi'!F241+'9. Alimentazione CE Ricavi'!F242+'9. Alimentazione CE Ricavi'!F243),2)</f>
        <v>9653412.8599999994</v>
      </c>
      <c r="F108" s="56"/>
      <c r="G108" s="196"/>
      <c r="H108" s="70"/>
      <c r="J108" s="66"/>
      <c r="L108" s="70"/>
    </row>
    <row r="109" spans="1:12" ht="25.5">
      <c r="A109" s="187" t="s">
        <v>1238</v>
      </c>
      <c r="B109" s="73" t="s">
        <v>327</v>
      </c>
      <c r="C109" s="74" t="s">
        <v>1333</v>
      </c>
      <c r="D109" s="69">
        <f>ROUND('9. Alimentazione CE Ricavi'!E245,2)</f>
        <v>0</v>
      </c>
      <c r="E109" s="69">
        <f>ROUND('9. Alimentazione CE Ricavi'!F245,2)</f>
        <v>0</v>
      </c>
      <c r="F109" s="56"/>
      <c r="G109" s="196"/>
      <c r="H109" s="70"/>
      <c r="J109" s="66"/>
      <c r="L109" s="70"/>
    </row>
    <row r="110" spans="1:12" ht="25.5">
      <c r="A110" s="187"/>
      <c r="B110" s="93" t="s">
        <v>328</v>
      </c>
      <c r="C110" s="94" t="s">
        <v>1334</v>
      </c>
      <c r="D110" s="92">
        <f t="shared" ref="D110:E110" si="21">+D111+D112+D113</f>
        <v>681165.27999999991</v>
      </c>
      <c r="E110" s="92">
        <f t="shared" si="21"/>
        <v>556877.80000000005</v>
      </c>
      <c r="F110" s="56" t="s">
        <v>1820</v>
      </c>
      <c r="G110" s="196"/>
      <c r="H110" s="70"/>
      <c r="J110" s="66"/>
      <c r="L110" s="70"/>
    </row>
    <row r="111" spans="1:12" ht="38.25">
      <c r="A111" s="187"/>
      <c r="B111" s="73" t="s">
        <v>330</v>
      </c>
      <c r="C111" s="74" t="s">
        <v>1335</v>
      </c>
      <c r="D111" s="69">
        <f>ROUND('9. Alimentazione CE Ricavi'!E248,2)</f>
        <v>257537.95</v>
      </c>
      <c r="E111" s="69">
        <f>ROUND('9. Alimentazione CE Ricavi'!F248,2)</f>
        <v>272596.43</v>
      </c>
      <c r="F111" s="56"/>
      <c r="G111" s="196"/>
      <c r="H111" s="70"/>
      <c r="J111" s="66"/>
      <c r="L111" s="70"/>
    </row>
    <row r="112" spans="1:12" ht="25.5">
      <c r="A112" s="187"/>
      <c r="B112" s="73" t="s">
        <v>332</v>
      </c>
      <c r="C112" s="74" t="s">
        <v>1336</v>
      </c>
      <c r="D112" s="69">
        <f>ROUND('9. Alimentazione CE Ricavi'!E250,2)</f>
        <v>420908.24</v>
      </c>
      <c r="E112" s="69">
        <f>ROUND('9. Alimentazione CE Ricavi'!F250,2)</f>
        <v>277096.44</v>
      </c>
      <c r="F112" s="56"/>
      <c r="G112" s="196"/>
      <c r="H112" s="70"/>
      <c r="J112" s="66"/>
      <c r="L112" s="70"/>
    </row>
    <row r="113" spans="1:12" ht="25.5">
      <c r="A113" s="187"/>
      <c r="B113" s="73" t="s">
        <v>334</v>
      </c>
      <c r="C113" s="74" t="s">
        <v>1337</v>
      </c>
      <c r="D113" s="69">
        <f>+ROUND(SUM('9. Alimentazione CE Ricavi'!E252:E257),2)</f>
        <v>2719.09</v>
      </c>
      <c r="E113" s="69">
        <f>+ROUND(SUM('9. Alimentazione CE Ricavi'!F252:F257),2)</f>
        <v>7184.93</v>
      </c>
      <c r="F113" s="56"/>
      <c r="G113" s="196"/>
      <c r="H113" s="70"/>
      <c r="J113" s="66"/>
      <c r="L113" s="70"/>
    </row>
    <row r="114" spans="1:12" ht="18.75">
      <c r="A114" s="187"/>
      <c r="B114" s="93" t="s">
        <v>340</v>
      </c>
      <c r="C114" s="94" t="s">
        <v>1338</v>
      </c>
      <c r="D114" s="92">
        <f t="shared" ref="D114:E114" si="22">+D115+D119+D120</f>
        <v>1194382.78</v>
      </c>
      <c r="E114" s="92">
        <f t="shared" si="22"/>
        <v>534684.74</v>
      </c>
      <c r="F114" s="56" t="s">
        <v>1820</v>
      </c>
      <c r="G114" s="196"/>
      <c r="H114" s="70"/>
      <c r="J114" s="66"/>
      <c r="L114" s="70"/>
    </row>
    <row r="115" spans="1:12" ht="18.75">
      <c r="A115" s="187"/>
      <c r="B115" s="110" t="s">
        <v>341</v>
      </c>
      <c r="C115" s="111" t="s">
        <v>1339</v>
      </c>
      <c r="D115" s="112">
        <f t="shared" ref="D115:E115" si="23">+D116+D117+D118</f>
        <v>0</v>
      </c>
      <c r="E115" s="112">
        <f t="shared" si="23"/>
        <v>0</v>
      </c>
      <c r="F115" s="56" t="s">
        <v>1820</v>
      </c>
      <c r="G115" s="197"/>
      <c r="H115" s="70"/>
      <c r="J115" s="66"/>
      <c r="L115" s="70"/>
    </row>
    <row r="116" spans="1:12" ht="25.5">
      <c r="A116" s="187"/>
      <c r="B116" s="75" t="s">
        <v>343</v>
      </c>
      <c r="C116" s="76" t="s">
        <v>1340</v>
      </c>
      <c r="D116" s="69">
        <f>ROUND('9. Alimentazione CE Ricavi'!E261,2)</f>
        <v>0</v>
      </c>
      <c r="E116" s="69">
        <f>ROUND('9. Alimentazione CE Ricavi'!F261,2)</f>
        <v>0</v>
      </c>
      <c r="F116" s="56"/>
      <c r="G116" s="196"/>
      <c r="H116" s="70"/>
      <c r="J116" s="66"/>
      <c r="L116" s="70"/>
    </row>
    <row r="117" spans="1:12" ht="25.5">
      <c r="A117" s="187"/>
      <c r="B117" s="75" t="s">
        <v>345</v>
      </c>
      <c r="C117" s="76" t="s">
        <v>1341</v>
      </c>
      <c r="D117" s="69">
        <f>ROUND('9. Alimentazione CE Ricavi'!E263,2)</f>
        <v>0</v>
      </c>
      <c r="E117" s="69">
        <f>ROUND('9. Alimentazione CE Ricavi'!F263,2)</f>
        <v>0</v>
      </c>
      <c r="F117" s="56"/>
      <c r="G117" s="196"/>
      <c r="H117" s="70"/>
      <c r="J117" s="66"/>
      <c r="L117" s="70"/>
    </row>
    <row r="118" spans="1:12" ht="18.75">
      <c r="A118" s="187"/>
      <c r="B118" s="75" t="s">
        <v>347</v>
      </c>
      <c r="C118" s="76" t="s">
        <v>1342</v>
      </c>
      <c r="D118" s="69">
        <f>ROUND('9. Alimentazione CE Ricavi'!E265,2)</f>
        <v>0</v>
      </c>
      <c r="E118" s="69">
        <f>ROUND('9. Alimentazione CE Ricavi'!F265,2)</f>
        <v>0</v>
      </c>
      <c r="F118" s="56"/>
      <c r="G118" s="196"/>
      <c r="H118" s="70"/>
      <c r="J118" s="66"/>
      <c r="L118" s="70"/>
    </row>
    <row r="119" spans="1:12" ht="18.75">
      <c r="A119" s="189"/>
      <c r="B119" s="73" t="s">
        <v>349</v>
      </c>
      <c r="C119" s="74" t="s">
        <v>1343</v>
      </c>
      <c r="D119" s="69">
        <f>ROUND('9. Alimentazione CE Ricavi'!E267,2)</f>
        <v>0</v>
      </c>
      <c r="E119" s="69">
        <f>ROUND('9. Alimentazione CE Ricavi'!F267,2)</f>
        <v>0</v>
      </c>
      <c r="F119" s="290"/>
      <c r="G119" s="196"/>
      <c r="H119" s="70"/>
      <c r="J119" s="66"/>
      <c r="L119" s="70"/>
    </row>
    <row r="120" spans="1:12" ht="18.75">
      <c r="A120" s="189"/>
      <c r="B120" s="73" t="s">
        <v>351</v>
      </c>
      <c r="C120" s="74" t="s">
        <v>1344</v>
      </c>
      <c r="D120" s="69">
        <f>+ROUND(SUM('9. Alimentazione CE Ricavi'!E269:E281),2)</f>
        <v>1194382.78</v>
      </c>
      <c r="E120" s="69">
        <f>+ROUND(SUM('9. Alimentazione CE Ricavi'!F269:F281),2)</f>
        <v>534684.74</v>
      </c>
      <c r="F120" s="290"/>
      <c r="G120" s="196"/>
      <c r="H120" s="70"/>
      <c r="J120" s="66"/>
      <c r="L120" s="70"/>
    </row>
    <row r="121" spans="1:12" ht="25.5">
      <c r="A121" s="189"/>
      <c r="B121" s="98" t="s">
        <v>364</v>
      </c>
      <c r="C121" s="99" t="s">
        <v>1345</v>
      </c>
      <c r="D121" s="100">
        <f t="shared" ref="D121:E121" si="24">+D122+D123+D124</f>
        <v>0</v>
      </c>
      <c r="E121" s="100">
        <f t="shared" si="24"/>
        <v>0</v>
      </c>
      <c r="F121" s="56" t="s">
        <v>1820</v>
      </c>
      <c r="G121" s="196"/>
      <c r="H121" s="70"/>
      <c r="J121" s="66"/>
      <c r="L121" s="70"/>
    </row>
    <row r="122" spans="1:12" ht="38.25">
      <c r="A122" s="189"/>
      <c r="B122" s="71" t="s">
        <v>365</v>
      </c>
      <c r="C122" s="72" t="s">
        <v>1346</v>
      </c>
      <c r="D122" s="69">
        <f>ROUND('9. Alimentazione CE Ricavi'!E284,2)</f>
        <v>0</v>
      </c>
      <c r="E122" s="69">
        <f>ROUND('9. Alimentazione CE Ricavi'!F284,2)</f>
        <v>0</v>
      </c>
      <c r="F122" s="290"/>
      <c r="G122" s="196"/>
      <c r="H122" s="70"/>
      <c r="J122" s="66"/>
      <c r="L122" s="70"/>
    </row>
    <row r="123" spans="1:12" ht="25.5">
      <c r="A123" s="187"/>
      <c r="B123" s="71" t="s">
        <v>367</v>
      </c>
      <c r="C123" s="72" t="s">
        <v>1347</v>
      </c>
      <c r="D123" s="69">
        <f>ROUND('9. Alimentazione CE Ricavi'!E286,2)</f>
        <v>0</v>
      </c>
      <c r="E123" s="69">
        <f>ROUND('9. Alimentazione CE Ricavi'!F286,2)</f>
        <v>0</v>
      </c>
      <c r="F123" s="56"/>
      <c r="G123" s="196"/>
      <c r="H123" s="70"/>
      <c r="J123" s="66"/>
      <c r="L123" s="70"/>
    </row>
    <row r="124" spans="1:12" ht="25.5">
      <c r="A124" s="187"/>
      <c r="B124" s="71" t="s">
        <v>369</v>
      </c>
      <c r="C124" s="72" t="s">
        <v>1348</v>
      </c>
      <c r="D124" s="69">
        <f>ROUND('9. Alimentazione CE Ricavi'!E288,2)</f>
        <v>0</v>
      </c>
      <c r="E124" s="69">
        <f>ROUND('9. Alimentazione CE Ricavi'!F288,2)</f>
        <v>0</v>
      </c>
      <c r="F124" s="56"/>
      <c r="G124" s="196"/>
      <c r="H124" s="70"/>
      <c r="J124" s="66"/>
      <c r="L124" s="70"/>
    </row>
    <row r="125" spans="1:12" ht="25.5">
      <c r="A125" s="187"/>
      <c r="B125" s="98" t="s">
        <v>370</v>
      </c>
      <c r="C125" s="99" t="s">
        <v>1349</v>
      </c>
      <c r="D125" s="100">
        <f t="shared" ref="D125:E125" si="25">+D126+D127+D128+D129+D130+D131</f>
        <v>162903.45000000001</v>
      </c>
      <c r="E125" s="100">
        <f t="shared" si="25"/>
        <v>209090.11</v>
      </c>
      <c r="F125" s="56" t="s">
        <v>1820</v>
      </c>
      <c r="G125" s="196"/>
      <c r="H125" s="70"/>
      <c r="J125" s="66"/>
      <c r="L125" s="70"/>
    </row>
    <row r="126" spans="1:12" ht="25.5">
      <c r="A126" s="187"/>
      <c r="B126" s="71" t="s">
        <v>372</v>
      </c>
      <c r="C126" s="72" t="s">
        <v>1350</v>
      </c>
      <c r="D126" s="69">
        <f>ROUND('9. Alimentazione CE Ricavi'!E291,2)</f>
        <v>0</v>
      </c>
      <c r="E126" s="69">
        <f>ROUND('9. Alimentazione CE Ricavi'!F291,2)</f>
        <v>0</v>
      </c>
      <c r="F126" s="56"/>
      <c r="G126" s="196"/>
      <c r="H126" s="70"/>
      <c r="J126" s="66"/>
      <c r="L126" s="70"/>
    </row>
    <row r="127" spans="1:12" ht="25.5">
      <c r="A127" s="187"/>
      <c r="B127" s="71" t="s">
        <v>374</v>
      </c>
      <c r="C127" s="72" t="s">
        <v>1351</v>
      </c>
      <c r="D127" s="69">
        <f>ROUND('9. Alimentazione CE Ricavi'!E293,2)</f>
        <v>162903.45000000001</v>
      </c>
      <c r="E127" s="69">
        <f>ROUND('9. Alimentazione CE Ricavi'!F293,2)</f>
        <v>209090.11</v>
      </c>
      <c r="F127" s="56"/>
      <c r="G127" s="196"/>
      <c r="H127" s="70"/>
      <c r="J127" s="66"/>
      <c r="L127" s="70"/>
    </row>
    <row r="128" spans="1:12" ht="25.5">
      <c r="A128" s="187"/>
      <c r="B128" s="71" t="s">
        <v>376</v>
      </c>
      <c r="C128" s="72" t="s">
        <v>1352</v>
      </c>
      <c r="D128" s="69">
        <f>ROUND('9. Alimentazione CE Ricavi'!E295,2)</f>
        <v>0</v>
      </c>
      <c r="E128" s="69">
        <f>ROUND('9. Alimentazione CE Ricavi'!F295,2)</f>
        <v>0</v>
      </c>
      <c r="F128" s="56"/>
      <c r="G128" s="196"/>
      <c r="H128" s="70"/>
      <c r="J128" s="66"/>
      <c r="L128" s="70"/>
    </row>
    <row r="129" spans="1:12" ht="25.5">
      <c r="A129" s="187"/>
      <c r="B129" s="71" t="s">
        <v>378</v>
      </c>
      <c r="C129" s="72" t="s">
        <v>1353</v>
      </c>
      <c r="D129" s="69">
        <f>ROUND('9. Alimentazione CE Ricavi'!E297,2)</f>
        <v>0</v>
      </c>
      <c r="E129" s="69">
        <f>ROUND('9. Alimentazione CE Ricavi'!F297,2)</f>
        <v>0</v>
      </c>
      <c r="F129" s="56"/>
      <c r="G129" s="196"/>
      <c r="H129" s="70"/>
      <c r="J129" s="66"/>
      <c r="L129" s="70"/>
    </row>
    <row r="130" spans="1:12" ht="25.5">
      <c r="A130" s="187"/>
      <c r="B130" s="71" t="s">
        <v>380</v>
      </c>
      <c r="C130" s="72" t="s">
        <v>1354</v>
      </c>
      <c r="D130" s="69">
        <f>ROUND('9. Alimentazione CE Ricavi'!E299,2)</f>
        <v>0</v>
      </c>
      <c r="E130" s="69">
        <f>ROUND('9. Alimentazione CE Ricavi'!F299,2)</f>
        <v>0</v>
      </c>
      <c r="F130" s="56"/>
      <c r="G130" s="196"/>
      <c r="H130" s="70"/>
      <c r="J130" s="66"/>
      <c r="L130" s="70"/>
    </row>
    <row r="131" spans="1:12" ht="25.5">
      <c r="A131" s="187"/>
      <c r="B131" s="71" t="s">
        <v>382</v>
      </c>
      <c r="C131" s="72" t="s">
        <v>1355</v>
      </c>
      <c r="D131" s="69">
        <f>ROUND('9. Alimentazione CE Ricavi'!E301,2)</f>
        <v>0</v>
      </c>
      <c r="E131" s="69">
        <f>ROUND('9. Alimentazione CE Ricavi'!F301,2)</f>
        <v>0</v>
      </c>
      <c r="F131" s="56"/>
      <c r="G131" s="196"/>
      <c r="H131" s="70"/>
      <c r="J131" s="66"/>
      <c r="L131" s="70"/>
    </row>
    <row r="132" spans="1:12" ht="25.5">
      <c r="A132" s="187"/>
      <c r="B132" s="98" t="s">
        <v>383</v>
      </c>
      <c r="C132" s="99" t="s">
        <v>1356</v>
      </c>
      <c r="D132" s="100">
        <f>ROUND('9. Alimentazione CE Ricavi'!E303,2)</f>
        <v>0</v>
      </c>
      <c r="E132" s="100">
        <f>ROUND('9. Alimentazione CE Ricavi'!F303,2)</f>
        <v>0</v>
      </c>
      <c r="F132" s="56"/>
      <c r="G132" s="196"/>
      <c r="H132" s="70"/>
      <c r="J132" s="66"/>
      <c r="L132" s="70"/>
    </row>
    <row r="133" spans="1:12" ht="18.75">
      <c r="A133" s="187"/>
      <c r="B133" s="98" t="s">
        <v>384</v>
      </c>
      <c r="C133" s="99" t="s">
        <v>1357</v>
      </c>
      <c r="D133" s="100">
        <f t="shared" ref="D133:E133" si="26">+D134+D135+D136</f>
        <v>9190.73</v>
      </c>
      <c r="E133" s="100">
        <f t="shared" si="26"/>
        <v>6250</v>
      </c>
      <c r="F133" s="56" t="s">
        <v>1820</v>
      </c>
      <c r="G133" s="196"/>
      <c r="H133" s="70"/>
      <c r="J133" s="66"/>
      <c r="L133" s="70"/>
    </row>
    <row r="134" spans="1:12" ht="18.75">
      <c r="A134" s="187"/>
      <c r="B134" s="71" t="s">
        <v>385</v>
      </c>
      <c r="C134" s="72" t="s">
        <v>1358</v>
      </c>
      <c r="D134" s="69">
        <f>ROUND(('9. Alimentazione CE Ricavi'!E306+'9. Alimentazione CE Ricavi'!E307+'9. Alimentazione CE Ricavi'!E308),2)</f>
        <v>0</v>
      </c>
      <c r="E134" s="69">
        <f>ROUND(('9. Alimentazione CE Ricavi'!F306+'9. Alimentazione CE Ricavi'!F307+'9. Alimentazione CE Ricavi'!F308),2)</f>
        <v>0</v>
      </c>
      <c r="F134" s="56"/>
      <c r="G134" s="196"/>
      <c r="H134" s="70"/>
      <c r="J134" s="66"/>
      <c r="L134" s="70"/>
    </row>
    <row r="135" spans="1:12" ht="25.5">
      <c r="A135" s="187"/>
      <c r="B135" s="71" t="s">
        <v>389</v>
      </c>
      <c r="C135" s="72" t="s">
        <v>1359</v>
      </c>
      <c r="D135" s="69">
        <f>ROUND(('9. Alimentazione CE Ricavi'!E310+'9. Alimentazione CE Ricavi'!E311+'9. Alimentazione CE Ricavi'!E312),2)</f>
        <v>0</v>
      </c>
      <c r="E135" s="69">
        <f>ROUND(('9. Alimentazione CE Ricavi'!F310+'9. Alimentazione CE Ricavi'!F311+'9. Alimentazione CE Ricavi'!F312),2)</f>
        <v>0</v>
      </c>
      <c r="F135" s="56"/>
      <c r="G135" s="196"/>
      <c r="H135" s="70"/>
      <c r="J135" s="66"/>
      <c r="L135" s="70"/>
    </row>
    <row r="136" spans="1:12" ht="18.75">
      <c r="A136" s="187"/>
      <c r="B136" s="71" t="s">
        <v>394</v>
      </c>
      <c r="C136" s="72" t="s">
        <v>1360</v>
      </c>
      <c r="D136" s="69">
        <f>ROUND(('9. Alimentazione CE Ricavi'!E314+'9. Alimentazione CE Ricavi'!E315+'9. Alimentazione CE Ricavi'!E316),2)</f>
        <v>9190.73</v>
      </c>
      <c r="E136" s="69">
        <f>ROUND(('9. Alimentazione CE Ricavi'!F314+'9. Alimentazione CE Ricavi'!F315+'9. Alimentazione CE Ricavi'!F316),2)</f>
        <v>6250</v>
      </c>
      <c r="F136" s="56"/>
      <c r="G136" s="196"/>
      <c r="H136" s="70"/>
      <c r="J136" s="66"/>
      <c r="L136" s="70"/>
    </row>
    <row r="137" spans="1:12" ht="18.75">
      <c r="A137" s="187"/>
      <c r="B137" s="101" t="s">
        <v>1361</v>
      </c>
      <c r="C137" s="102" t="s">
        <v>1362</v>
      </c>
      <c r="D137" s="103">
        <f t="shared" ref="D137:E137" si="27">+D133+D132+D125+D121+D100+D45+D39+D36+D5</f>
        <v>508121042.45999992</v>
      </c>
      <c r="E137" s="103">
        <f t="shared" si="27"/>
        <v>457909969.74000007</v>
      </c>
      <c r="F137" s="56" t="s">
        <v>1820</v>
      </c>
      <c r="G137" s="196"/>
      <c r="H137" s="70"/>
      <c r="J137" s="66"/>
      <c r="L137" s="70"/>
    </row>
    <row r="138" spans="1:12" ht="18.75">
      <c r="A138" s="187"/>
      <c r="B138" s="114"/>
      <c r="C138" s="117" t="s">
        <v>1363</v>
      </c>
      <c r="D138" s="116"/>
      <c r="E138" s="116"/>
      <c r="F138" s="56"/>
      <c r="G138" s="196"/>
      <c r="H138" s="70"/>
      <c r="J138" s="66"/>
      <c r="L138" s="70"/>
    </row>
    <row r="139" spans="1:12" ht="18.75">
      <c r="A139" s="187"/>
      <c r="B139" s="98" t="s">
        <v>463</v>
      </c>
      <c r="C139" s="99" t="s">
        <v>1364</v>
      </c>
      <c r="D139" s="100">
        <f>+D140+D171</f>
        <v>443367062.40000004</v>
      </c>
      <c r="E139" s="100">
        <f t="shared" ref="E139" si="28">+E140+E171</f>
        <v>391240800.12</v>
      </c>
      <c r="F139" s="56" t="s">
        <v>1820</v>
      </c>
      <c r="G139" s="196"/>
      <c r="H139" s="70"/>
      <c r="J139" s="66"/>
      <c r="L139" s="70"/>
    </row>
    <row r="140" spans="1:12" ht="18.75">
      <c r="A140" s="187"/>
      <c r="B140" s="93" t="s">
        <v>464</v>
      </c>
      <c r="C140" s="94" t="s">
        <v>1365</v>
      </c>
      <c r="D140" s="92">
        <f t="shared" ref="D140" si="29">+D141+D149+D153+D157+D158+D159+D160+D161+D162</f>
        <v>435995385.30000001</v>
      </c>
      <c r="E140" s="92">
        <f t="shared" ref="E140" si="30">+E141+E149+E153+E157+E158+E159+E160+E161+E162</f>
        <v>383306598.68000001</v>
      </c>
      <c r="F140" s="56" t="s">
        <v>1820</v>
      </c>
      <c r="G140" s="196"/>
      <c r="H140" s="70"/>
      <c r="J140" s="66"/>
      <c r="L140" s="70"/>
    </row>
    <row r="141" spans="1:12" ht="18.75">
      <c r="A141" s="187"/>
      <c r="B141" s="104" t="s">
        <v>465</v>
      </c>
      <c r="C141" s="105" t="s">
        <v>1366</v>
      </c>
      <c r="D141" s="106">
        <f t="shared" ref="D141" si="31">SUM(D142:D145)</f>
        <v>319017244.30000001</v>
      </c>
      <c r="E141" s="106">
        <f t="shared" ref="E141" si="32">SUM(E142:E145)</f>
        <v>277539198.78000003</v>
      </c>
      <c r="F141" s="56" t="s">
        <v>1820</v>
      </c>
      <c r="G141" s="196"/>
      <c r="H141" s="70"/>
      <c r="J141" s="66"/>
      <c r="L141" s="70"/>
    </row>
    <row r="142" spans="1:12" ht="38.25">
      <c r="A142" s="189"/>
      <c r="B142" s="75" t="s">
        <v>466</v>
      </c>
      <c r="C142" s="76" t="s">
        <v>1367</v>
      </c>
      <c r="D142" s="69">
        <f>+ROUND('10. Alimentazione CE Costi'!E7+'10. Alimentazione CE Costi'!E8,2)</f>
        <v>315613866.48000002</v>
      </c>
      <c r="E142" s="69">
        <f>+ROUND('10. Alimentazione CE Costi'!F7+'10. Alimentazione CE Costi'!F8,2)</f>
        <v>276076877.81</v>
      </c>
      <c r="F142" s="290"/>
      <c r="G142" s="196"/>
      <c r="H142" s="70"/>
      <c r="J142" s="66"/>
      <c r="L142" s="70"/>
    </row>
    <row r="143" spans="1:12" ht="18.75">
      <c r="A143" s="189"/>
      <c r="B143" s="75" t="s">
        <v>469</v>
      </c>
      <c r="C143" s="76" t="s">
        <v>1368</v>
      </c>
      <c r="D143" s="69">
        <f>+ROUND('10. Alimentazione CE Costi'!E10+'10. Alimentazione CE Costi'!E11,2)</f>
        <v>3403377.82</v>
      </c>
      <c r="E143" s="69">
        <f>+ROUND('10. Alimentazione CE Costi'!F10+'10. Alimentazione CE Costi'!F11,2)</f>
        <v>1462320.97</v>
      </c>
      <c r="F143" s="290"/>
      <c r="G143" s="196"/>
      <c r="H143" s="70"/>
      <c r="J143" s="66"/>
      <c r="L143" s="70"/>
    </row>
    <row r="144" spans="1:12" ht="18.75">
      <c r="A144" s="189"/>
      <c r="B144" s="75" t="s">
        <v>471</v>
      </c>
      <c r="C144" s="76" t="s">
        <v>1369</v>
      </c>
      <c r="D144" s="69">
        <f>+ROUND('10. Alimentazione CE Costi'!E13,2)</f>
        <v>0</v>
      </c>
      <c r="E144" s="69">
        <f>+ROUND('10. Alimentazione CE Costi'!F13,2)</f>
        <v>0</v>
      </c>
      <c r="F144" s="290"/>
      <c r="G144" s="196"/>
      <c r="H144" s="70"/>
      <c r="J144" s="66"/>
      <c r="L144" s="70"/>
    </row>
    <row r="145" spans="1:12" ht="18.75">
      <c r="A145" s="187"/>
      <c r="B145" s="107" t="s">
        <v>472</v>
      </c>
      <c r="C145" s="108" t="s">
        <v>1370</v>
      </c>
      <c r="D145" s="109">
        <f t="shared" ref="D145" si="33">SUM(D146:D148)</f>
        <v>0</v>
      </c>
      <c r="E145" s="109">
        <f t="shared" ref="E145" si="34">SUM(E146:E148)</f>
        <v>0</v>
      </c>
      <c r="F145" s="56" t="s">
        <v>1820</v>
      </c>
      <c r="G145" s="196"/>
      <c r="H145" s="70"/>
      <c r="J145" s="66"/>
      <c r="L145" s="70"/>
    </row>
    <row r="146" spans="1:12" ht="38.25">
      <c r="A146" s="189" t="s">
        <v>1238</v>
      </c>
      <c r="B146" s="75" t="s">
        <v>474</v>
      </c>
      <c r="C146" s="76" t="s">
        <v>1371</v>
      </c>
      <c r="D146" s="69">
        <f>+ROUND('10. Alimentazione CE Costi'!E16,2)</f>
        <v>0</v>
      </c>
      <c r="E146" s="69">
        <f>+ROUND('10. Alimentazione CE Costi'!F16,2)</f>
        <v>0</v>
      </c>
      <c r="F146" s="290"/>
      <c r="G146" s="196"/>
      <c r="H146" s="70"/>
      <c r="J146" s="66"/>
      <c r="L146" s="70"/>
    </row>
    <row r="147" spans="1:12" ht="38.25">
      <c r="A147" s="189" t="s">
        <v>1283</v>
      </c>
      <c r="B147" s="75" t="s">
        <v>476</v>
      </c>
      <c r="C147" s="76" t="s">
        <v>1372</v>
      </c>
      <c r="D147" s="69">
        <f>+ROUND('10. Alimentazione CE Costi'!E18,2)</f>
        <v>0</v>
      </c>
      <c r="E147" s="69">
        <f>+ROUND('10. Alimentazione CE Costi'!F18,2)</f>
        <v>0</v>
      </c>
      <c r="F147" s="290"/>
      <c r="G147" s="196"/>
      <c r="H147" s="70"/>
      <c r="J147" s="66"/>
      <c r="L147" s="70"/>
    </row>
    <row r="148" spans="1:12" ht="25.5">
      <c r="A148" s="189"/>
      <c r="B148" s="75" t="s">
        <v>478</v>
      </c>
      <c r="C148" s="76" t="s">
        <v>1373</v>
      </c>
      <c r="D148" s="69">
        <f>+ROUND('10. Alimentazione CE Costi'!E20,2)</f>
        <v>0</v>
      </c>
      <c r="E148" s="69">
        <f>+ROUND('10. Alimentazione CE Costi'!F20,2)</f>
        <v>0</v>
      </c>
      <c r="F148" s="290"/>
      <c r="G148" s="196"/>
      <c r="H148" s="70"/>
      <c r="J148" s="66"/>
      <c r="L148" s="70"/>
    </row>
    <row r="149" spans="1:12" ht="18.75">
      <c r="A149" s="187"/>
      <c r="B149" s="104" t="s">
        <v>479</v>
      </c>
      <c r="C149" s="105" t="s">
        <v>1374</v>
      </c>
      <c r="D149" s="106">
        <f t="shared" ref="D149" si="35">SUM(D150:D152)</f>
        <v>0</v>
      </c>
      <c r="E149" s="106">
        <f t="shared" ref="E149" si="36">SUM(E150:E152)</f>
        <v>0</v>
      </c>
      <c r="F149" s="56" t="s">
        <v>1820</v>
      </c>
      <c r="G149" s="196"/>
      <c r="H149" s="70"/>
      <c r="J149" s="66"/>
      <c r="L149" s="70"/>
    </row>
    <row r="150" spans="1:12" ht="25.5">
      <c r="A150" s="187" t="s">
        <v>1238</v>
      </c>
      <c r="B150" s="75" t="s">
        <v>480</v>
      </c>
      <c r="C150" s="76" t="s">
        <v>1375</v>
      </c>
      <c r="D150" s="69">
        <f>+ROUND('10. Alimentazione CE Costi'!E23,2)</f>
        <v>0</v>
      </c>
      <c r="E150" s="69">
        <f>+ROUND('10. Alimentazione CE Costi'!F23,2)</f>
        <v>0</v>
      </c>
      <c r="F150" s="56"/>
      <c r="G150" s="196"/>
      <c r="H150" s="70"/>
      <c r="J150" s="66"/>
      <c r="L150" s="70"/>
    </row>
    <row r="151" spans="1:12" ht="25.5">
      <c r="A151" s="187" t="s">
        <v>1283</v>
      </c>
      <c r="B151" s="75" t="s">
        <v>481</v>
      </c>
      <c r="C151" s="76" t="s">
        <v>1376</v>
      </c>
      <c r="D151" s="69">
        <f>+ROUND('10. Alimentazione CE Costi'!E25,2)</f>
        <v>0</v>
      </c>
      <c r="E151" s="69">
        <f>+ROUND('10. Alimentazione CE Costi'!F25,2)</f>
        <v>0</v>
      </c>
      <c r="F151" s="56"/>
      <c r="G151" s="196"/>
      <c r="H151" s="70"/>
      <c r="J151" s="66"/>
      <c r="L151" s="70"/>
    </row>
    <row r="152" spans="1:12" ht="18.75">
      <c r="A152" s="187"/>
      <c r="B152" s="75" t="s">
        <v>483</v>
      </c>
      <c r="C152" s="76" t="s">
        <v>1377</v>
      </c>
      <c r="D152" s="69">
        <f>+ROUND('10. Alimentazione CE Costi'!E27,2)</f>
        <v>0</v>
      </c>
      <c r="E152" s="69">
        <f>+ROUND('10. Alimentazione CE Costi'!F27,2)</f>
        <v>0</v>
      </c>
      <c r="F152" s="56"/>
      <c r="G152" s="196"/>
      <c r="H152" s="70"/>
      <c r="J152" s="66"/>
      <c r="L152" s="70"/>
    </row>
    <row r="153" spans="1:12" ht="18.75">
      <c r="A153" s="187"/>
      <c r="B153" s="104" t="s">
        <v>485</v>
      </c>
      <c r="C153" s="105" t="s">
        <v>1378</v>
      </c>
      <c r="D153" s="106">
        <f t="shared" ref="D153" si="37">SUM(D154:D156)</f>
        <v>95657524.890000015</v>
      </c>
      <c r="E153" s="106">
        <f t="shared" ref="E153" si="38">SUM(E154:E156)</f>
        <v>87094892.620000005</v>
      </c>
      <c r="F153" s="292" t="s">
        <v>1820</v>
      </c>
      <c r="G153" s="196"/>
      <c r="H153" s="70"/>
      <c r="J153" s="66"/>
      <c r="L153" s="70"/>
    </row>
    <row r="154" spans="1:12" ht="18.75">
      <c r="A154" s="187"/>
      <c r="B154" s="75" t="s">
        <v>486</v>
      </c>
      <c r="C154" s="76" t="s">
        <v>1379</v>
      </c>
      <c r="D154" s="69">
        <f>+ROUND('10. Alimentazione CE Costi'!E30+'10. Alimentazione CE Costi'!E31,2)</f>
        <v>88606603.920000002</v>
      </c>
      <c r="E154" s="69">
        <f>+ROUND('10. Alimentazione CE Costi'!F30+'10. Alimentazione CE Costi'!F31,2)</f>
        <v>78803270.640000001</v>
      </c>
      <c r="F154" s="56"/>
      <c r="G154" s="196"/>
      <c r="H154" s="70"/>
      <c r="J154" s="66"/>
      <c r="L154" s="70"/>
    </row>
    <row r="155" spans="1:12" ht="18.75">
      <c r="A155" s="187"/>
      <c r="B155" s="75" t="s">
        <v>488</v>
      </c>
      <c r="C155" s="76" t="s">
        <v>1380</v>
      </c>
      <c r="D155" s="69">
        <f>+ROUND('10. Alimentazione CE Costi'!E33+'10. Alimentazione CE Costi'!E34,2)</f>
        <v>787034.04</v>
      </c>
      <c r="E155" s="69">
        <f>+ROUND('10. Alimentazione CE Costi'!F33+'10. Alimentazione CE Costi'!F34,2)</f>
        <v>189245</v>
      </c>
      <c r="F155" s="56"/>
      <c r="G155" s="196"/>
      <c r="H155" s="70"/>
      <c r="J155" s="66"/>
      <c r="L155" s="70"/>
    </row>
    <row r="156" spans="1:12" ht="18.75">
      <c r="A156" s="187"/>
      <c r="B156" s="75" t="s">
        <v>490</v>
      </c>
      <c r="C156" s="76" t="s">
        <v>1381</v>
      </c>
      <c r="D156" s="69">
        <f>+ROUND('10. Alimentazione CE Costi'!E36+'10. Alimentazione CE Costi'!E37,2)</f>
        <v>6263886.9299999997</v>
      </c>
      <c r="E156" s="69">
        <f>+ROUND('10. Alimentazione CE Costi'!F36+'10. Alimentazione CE Costi'!F37,2)</f>
        <v>8102376.9800000004</v>
      </c>
      <c r="F156" s="56"/>
      <c r="G156" s="196"/>
      <c r="H156" s="70"/>
      <c r="J156" s="66"/>
      <c r="L156" s="70"/>
    </row>
    <row r="157" spans="1:12" ht="18.75">
      <c r="A157" s="187"/>
      <c r="B157" s="73" t="s">
        <v>492</v>
      </c>
      <c r="C157" s="74" t="s">
        <v>1382</v>
      </c>
      <c r="D157" s="79">
        <f>+ROUND('10. Alimentazione CE Costi'!E39+'10. Alimentazione CE Costi'!E40,2)</f>
        <v>2354109.0299999998</v>
      </c>
      <c r="E157" s="79">
        <f>+ROUND('10. Alimentazione CE Costi'!F39+'10. Alimentazione CE Costi'!F40,2)</f>
        <v>2515948.41</v>
      </c>
      <c r="F157" s="290"/>
      <c r="G157" s="196"/>
      <c r="H157" s="70"/>
      <c r="J157" s="66"/>
      <c r="L157" s="70"/>
    </row>
    <row r="158" spans="1:12" ht="18.75">
      <c r="A158" s="187"/>
      <c r="B158" s="73" t="s">
        <v>494</v>
      </c>
      <c r="C158" s="74" t="s">
        <v>1383</v>
      </c>
      <c r="D158" s="79">
        <f>+ROUND('10. Alimentazione CE Costi'!E42+'10. Alimentazione CE Costi'!E43,2)</f>
        <v>15808515.710000001</v>
      </c>
      <c r="E158" s="79">
        <f>+ROUND('10. Alimentazione CE Costi'!F42+'10. Alimentazione CE Costi'!F43,2)</f>
        <v>12598876.84</v>
      </c>
      <c r="F158" s="290"/>
      <c r="G158" s="196"/>
      <c r="H158" s="70"/>
      <c r="J158" s="66"/>
      <c r="L158" s="70"/>
    </row>
    <row r="159" spans="1:12" ht="18.75">
      <c r="A159" s="187"/>
      <c r="B159" s="73" t="s">
        <v>496</v>
      </c>
      <c r="C159" s="74" t="s">
        <v>1384</v>
      </c>
      <c r="D159" s="79">
        <f>+ROUND('10. Alimentazione CE Costi'!E45+'10. Alimentazione CE Costi'!E46,2)</f>
        <v>14794.1</v>
      </c>
      <c r="E159" s="79">
        <f>+ROUND('10. Alimentazione CE Costi'!F45+'10. Alimentazione CE Costi'!F46,2)</f>
        <v>0</v>
      </c>
      <c r="F159" s="290"/>
      <c r="G159" s="196"/>
      <c r="H159" s="70"/>
      <c r="J159" s="66"/>
      <c r="L159" s="70"/>
    </row>
    <row r="160" spans="1:12" ht="18.75">
      <c r="A160" s="187"/>
      <c r="B160" s="73" t="s">
        <v>498</v>
      </c>
      <c r="C160" s="74" t="s">
        <v>1385</v>
      </c>
      <c r="D160" s="79">
        <f>+ROUND('10. Alimentazione CE Costi'!E48+'10. Alimentazione CE Costi'!E49,2)</f>
        <v>47393.64</v>
      </c>
      <c r="E160" s="79">
        <f>+ROUND('10. Alimentazione CE Costi'!F48+'10. Alimentazione CE Costi'!F49,2)</f>
        <v>20896.400000000001</v>
      </c>
      <c r="F160" s="290"/>
      <c r="G160" s="196"/>
      <c r="H160" s="70"/>
      <c r="J160" s="66"/>
      <c r="L160" s="70"/>
    </row>
    <row r="161" spans="1:12" ht="18.75">
      <c r="A161" s="187"/>
      <c r="B161" s="73" t="s">
        <v>500</v>
      </c>
      <c r="C161" s="74" t="s">
        <v>1386</v>
      </c>
      <c r="D161" s="79">
        <f>+ROUND('10. Alimentazione CE Costi'!E51+'10. Alimentazione CE Costi'!E52,2)</f>
        <v>3095803.63</v>
      </c>
      <c r="E161" s="79">
        <f>+ROUND('10. Alimentazione CE Costi'!F51+'10. Alimentazione CE Costi'!F52,2)</f>
        <v>3536785.63</v>
      </c>
      <c r="F161" s="290"/>
      <c r="G161" s="196"/>
      <c r="H161" s="70"/>
      <c r="J161" s="66"/>
      <c r="L161" s="70"/>
    </row>
    <row r="162" spans="1:12" ht="25.5">
      <c r="A162" s="187" t="s">
        <v>1238</v>
      </c>
      <c r="B162" s="104" t="s">
        <v>501</v>
      </c>
      <c r="C162" s="105" t="s">
        <v>1387</v>
      </c>
      <c r="D162" s="106">
        <f>SUM(D163:D170)</f>
        <v>0</v>
      </c>
      <c r="E162" s="106">
        <f t="shared" ref="E162" si="39">SUM(E163:E170)</f>
        <v>0</v>
      </c>
      <c r="F162" s="290" t="s">
        <v>1820</v>
      </c>
      <c r="G162" s="196"/>
      <c r="J162" s="66"/>
      <c r="L162" s="70"/>
    </row>
    <row r="163" spans="1:12" ht="18.75">
      <c r="A163" s="187" t="s">
        <v>1238</v>
      </c>
      <c r="B163" s="73" t="s">
        <v>502</v>
      </c>
      <c r="C163" s="74" t="s">
        <v>1388</v>
      </c>
      <c r="D163" s="79">
        <f>+ROUND('10. Alimentazione CE Costi'!E55+'10. Alimentazione CE Costi'!E56+'10. Alimentazione CE Costi'!E57,2)</f>
        <v>0</v>
      </c>
      <c r="E163" s="79">
        <f>+ROUND('10. Alimentazione CE Costi'!F55+'10. Alimentazione CE Costi'!F56+'10. Alimentazione CE Costi'!F57,2)</f>
        <v>0</v>
      </c>
      <c r="F163" s="290"/>
      <c r="G163" s="196"/>
      <c r="J163" s="66"/>
      <c r="L163" s="70"/>
    </row>
    <row r="164" spans="1:12" ht="18.75">
      <c r="A164" s="187" t="s">
        <v>1238</v>
      </c>
      <c r="B164" s="73" t="s">
        <v>2052</v>
      </c>
      <c r="C164" s="74" t="s">
        <v>2053</v>
      </c>
      <c r="D164" s="79">
        <f>+ROUND('10. Alimentazione CE Costi'!E59,2)</f>
        <v>0</v>
      </c>
      <c r="E164" s="79">
        <f>+ROUND('10. Alimentazione CE Costi'!F59,2)</f>
        <v>0</v>
      </c>
      <c r="F164" s="290"/>
      <c r="G164" s="196"/>
      <c r="J164" s="66"/>
      <c r="L164" s="70"/>
    </row>
    <row r="165" spans="1:12" ht="18.75">
      <c r="A165" s="187" t="s">
        <v>1238</v>
      </c>
      <c r="B165" s="73" t="s">
        <v>503</v>
      </c>
      <c r="C165" s="74" t="s">
        <v>1389</v>
      </c>
      <c r="D165" s="79">
        <f>+ROUND('10. Alimentazione CE Costi'!E61+'10. Alimentazione CE Costi'!E62+'10. Alimentazione CE Costi'!E63,2)</f>
        <v>0</v>
      </c>
      <c r="E165" s="79">
        <f>+ROUND('10. Alimentazione CE Costi'!F61+'10. Alimentazione CE Costi'!F62+'10. Alimentazione CE Costi'!F63,2)</f>
        <v>0</v>
      </c>
      <c r="F165" s="290"/>
      <c r="G165" s="196"/>
      <c r="J165" s="66"/>
      <c r="L165" s="70"/>
    </row>
    <row r="166" spans="1:12" ht="18.75">
      <c r="A166" s="187" t="s">
        <v>1238</v>
      </c>
      <c r="B166" s="73" t="s">
        <v>504</v>
      </c>
      <c r="C166" s="74" t="s">
        <v>1390</v>
      </c>
      <c r="D166" s="79">
        <f>+ROUND('10. Alimentazione CE Costi'!E65,2)</f>
        <v>0</v>
      </c>
      <c r="E166" s="79">
        <f>+ROUND('10. Alimentazione CE Costi'!F65,2)</f>
        <v>0</v>
      </c>
      <c r="F166" s="290"/>
      <c r="G166" s="196"/>
      <c r="J166" s="66"/>
      <c r="L166" s="70"/>
    </row>
    <row r="167" spans="1:12" ht="18.75">
      <c r="A167" s="187" t="s">
        <v>1238</v>
      </c>
      <c r="B167" s="73" t="s">
        <v>505</v>
      </c>
      <c r="C167" s="74" t="s">
        <v>1391</v>
      </c>
      <c r="D167" s="79">
        <f>+ROUND('10. Alimentazione CE Costi'!E67,2)</f>
        <v>0</v>
      </c>
      <c r="E167" s="79">
        <f>+ROUND('10. Alimentazione CE Costi'!F67,2)</f>
        <v>0</v>
      </c>
      <c r="F167" s="290"/>
      <c r="G167" s="196"/>
      <c r="J167" s="66"/>
      <c r="L167" s="70"/>
    </row>
    <row r="168" spans="1:12" ht="18.75">
      <c r="A168" s="187" t="s">
        <v>1238</v>
      </c>
      <c r="B168" s="73" t="s">
        <v>506</v>
      </c>
      <c r="C168" s="74" t="s">
        <v>1392</v>
      </c>
      <c r="D168" s="79">
        <f>+ROUND('10. Alimentazione CE Costi'!E69,2)</f>
        <v>0</v>
      </c>
      <c r="E168" s="79">
        <f>+ROUND('10. Alimentazione CE Costi'!F69,2)</f>
        <v>0</v>
      </c>
      <c r="F168" s="290"/>
      <c r="G168" s="196"/>
      <c r="J168" s="66"/>
      <c r="L168" s="70"/>
    </row>
    <row r="169" spans="1:12" ht="18.75">
      <c r="A169" s="187" t="s">
        <v>1238</v>
      </c>
      <c r="B169" s="73" t="s">
        <v>507</v>
      </c>
      <c r="C169" s="74" t="s">
        <v>1393</v>
      </c>
      <c r="D169" s="79">
        <f>+ROUND('10. Alimentazione CE Costi'!E71,2)</f>
        <v>0</v>
      </c>
      <c r="E169" s="79">
        <f>+ROUND('10. Alimentazione CE Costi'!F71,2)</f>
        <v>0</v>
      </c>
      <c r="F169" s="290"/>
      <c r="G169" s="196"/>
      <c r="J169" s="66"/>
      <c r="L169" s="70"/>
    </row>
    <row r="170" spans="1:12" ht="18.75">
      <c r="A170" s="187" t="s">
        <v>1238</v>
      </c>
      <c r="B170" s="73" t="s">
        <v>508</v>
      </c>
      <c r="C170" s="74" t="s">
        <v>1394</v>
      </c>
      <c r="D170" s="79">
        <f>+ROUND('10. Alimentazione CE Costi'!E73,2)</f>
        <v>0</v>
      </c>
      <c r="E170" s="79">
        <f>+ROUND('10. Alimentazione CE Costi'!F73,2)</f>
        <v>0</v>
      </c>
      <c r="F170" s="290"/>
      <c r="G170" s="196"/>
      <c r="J170" s="66"/>
      <c r="L170" s="70"/>
    </row>
    <row r="171" spans="1:12" ht="18.75">
      <c r="A171" s="187"/>
      <c r="B171" s="93" t="s">
        <v>509</v>
      </c>
      <c r="C171" s="94" t="s">
        <v>1395</v>
      </c>
      <c r="D171" s="92">
        <f t="shared" ref="D171" si="40">SUM(D172:D178)</f>
        <v>7371677.0999999996</v>
      </c>
      <c r="E171" s="92">
        <f t="shared" ref="E171" si="41">SUM(E172:E178)</f>
        <v>7934201.4400000004</v>
      </c>
      <c r="F171" s="56" t="s">
        <v>1820</v>
      </c>
      <c r="G171" s="196"/>
      <c r="H171" s="70"/>
      <c r="J171" s="66"/>
      <c r="L171" s="70"/>
    </row>
    <row r="172" spans="1:12" ht="18.75">
      <c r="A172" s="187"/>
      <c r="B172" s="73" t="s">
        <v>511</v>
      </c>
      <c r="C172" s="74" t="s">
        <v>1396</v>
      </c>
      <c r="D172" s="69">
        <f>+ROUND('10. Alimentazione CE Costi'!E76+'10. Alimentazione CE Costi'!E77,2)</f>
        <v>91501.34</v>
      </c>
      <c r="E172" s="69">
        <f>+ROUND('10. Alimentazione CE Costi'!F76+'10. Alimentazione CE Costi'!F77,2)</f>
        <v>89057.75</v>
      </c>
      <c r="F172" s="56"/>
      <c r="G172" s="196"/>
      <c r="H172" s="70"/>
      <c r="J172" s="66"/>
      <c r="L172" s="70"/>
    </row>
    <row r="173" spans="1:12" ht="25.5">
      <c r="A173" s="187"/>
      <c r="B173" s="73" t="s">
        <v>513</v>
      </c>
      <c r="C173" s="74" t="s">
        <v>1397</v>
      </c>
      <c r="D173" s="69">
        <f>+ROUND('10. Alimentazione CE Costi'!E79+'10. Alimentazione CE Costi'!E80,2)</f>
        <v>4636120.41</v>
      </c>
      <c r="E173" s="69">
        <f>+ROUND('10. Alimentazione CE Costi'!F79+'10. Alimentazione CE Costi'!F80,2)</f>
        <v>5595422.0999999996</v>
      </c>
      <c r="F173" s="56"/>
      <c r="G173" s="196"/>
      <c r="H173" s="70"/>
      <c r="J173" s="66"/>
      <c r="L173" s="70"/>
    </row>
    <row r="174" spans="1:12" ht="18.75">
      <c r="A174" s="187"/>
      <c r="B174" s="73" t="s">
        <v>515</v>
      </c>
      <c r="C174" s="74" t="s">
        <v>1398</v>
      </c>
      <c r="D174" s="69">
        <f>+ROUND('10. Alimentazione CE Costi'!E82+'10. Alimentazione CE Costi'!E83,2)</f>
        <v>6092.42</v>
      </c>
      <c r="E174" s="69">
        <f>+ROUND('10. Alimentazione CE Costi'!F82+'10. Alimentazione CE Costi'!F83,2)</f>
        <v>3789.49</v>
      </c>
      <c r="F174" s="56"/>
      <c r="G174" s="196"/>
      <c r="H174" s="70"/>
      <c r="J174" s="66"/>
      <c r="L174" s="70"/>
    </row>
    <row r="175" spans="1:12" ht="18.75">
      <c r="A175" s="187"/>
      <c r="B175" s="73" t="s">
        <v>516</v>
      </c>
      <c r="C175" s="74" t="s">
        <v>1399</v>
      </c>
      <c r="D175" s="69">
        <f>+ROUND('10. Alimentazione CE Costi'!E85+'10. Alimentazione CE Costi'!E86+'10. Alimentazione CE Costi'!E87+'10. Alimentazione CE Costi'!E88,2)</f>
        <v>2567123.9300000002</v>
      </c>
      <c r="E175" s="69">
        <f>+ROUND('10. Alimentazione CE Costi'!F85+'10. Alimentazione CE Costi'!F86+'10. Alimentazione CE Costi'!F87+'10. Alimentazione CE Costi'!F88,2)</f>
        <v>2179478.81</v>
      </c>
      <c r="F175" s="56"/>
      <c r="G175" s="196"/>
      <c r="H175" s="70"/>
      <c r="J175" s="66"/>
      <c r="L175" s="70"/>
    </row>
    <row r="176" spans="1:12" ht="18.75">
      <c r="A176" s="187"/>
      <c r="B176" s="73" t="s">
        <v>520</v>
      </c>
      <c r="C176" s="74" t="s">
        <v>1400</v>
      </c>
      <c r="D176" s="69">
        <f>+ROUND('10. Alimentazione CE Costi'!E90+'10. Alimentazione CE Costi'!E91+'10. Alimentazione CE Costi'!E92,2)</f>
        <v>3690.93</v>
      </c>
      <c r="E176" s="69">
        <f>+ROUND('10. Alimentazione CE Costi'!F90+'10. Alimentazione CE Costi'!F91+'10. Alimentazione CE Costi'!F92,2)</f>
        <v>14361.9</v>
      </c>
      <c r="F176" s="56"/>
      <c r="G176" s="196"/>
      <c r="H176" s="70"/>
      <c r="J176" s="66"/>
      <c r="L176" s="70"/>
    </row>
    <row r="177" spans="1:12" ht="18.75">
      <c r="A177" s="187"/>
      <c r="B177" s="73" t="s">
        <v>524</v>
      </c>
      <c r="C177" s="74" t="s">
        <v>1401</v>
      </c>
      <c r="D177" s="69">
        <f>+ROUND('10. Alimentazione CE Costi'!E94+'10. Alimentazione CE Costi'!E95,2)</f>
        <v>67148.070000000007</v>
      </c>
      <c r="E177" s="69">
        <f>+ROUND('10. Alimentazione CE Costi'!F94+'10. Alimentazione CE Costi'!F95,2)</f>
        <v>52091.39</v>
      </c>
      <c r="F177" s="56"/>
      <c r="G177" s="196"/>
      <c r="H177" s="70"/>
      <c r="J177" s="66"/>
      <c r="L177" s="70"/>
    </row>
    <row r="178" spans="1:12" ht="25.5">
      <c r="A178" s="187" t="s">
        <v>1238</v>
      </c>
      <c r="B178" s="73" t="s">
        <v>525</v>
      </c>
      <c r="C178" s="74" t="s">
        <v>1402</v>
      </c>
      <c r="D178" s="69">
        <f>+ROUND('10. Alimentazione CE Costi'!E97+'10. Alimentazione CE Costi'!E98+'10. Alimentazione CE Costi'!E99+'10. Alimentazione CE Costi'!E100+'10. Alimentazione CE Costi'!E101+'10. Alimentazione CE Costi'!E102,2)</f>
        <v>0</v>
      </c>
      <c r="E178" s="69">
        <f>+ROUND('10. Alimentazione CE Costi'!F97+'10. Alimentazione CE Costi'!F98+'10. Alimentazione CE Costi'!F99+'10. Alimentazione CE Costi'!F100+'10. Alimentazione CE Costi'!F101+'10. Alimentazione CE Costi'!F102,2)</f>
        <v>0</v>
      </c>
      <c r="F178" s="56"/>
      <c r="G178" s="196"/>
      <c r="H178" s="70"/>
      <c r="J178" s="66"/>
      <c r="L178" s="70"/>
    </row>
    <row r="179" spans="1:12" ht="18.75">
      <c r="A179" s="187"/>
      <c r="B179" s="98" t="s">
        <v>526</v>
      </c>
      <c r="C179" s="99" t="s">
        <v>1403</v>
      </c>
      <c r="D179" s="100">
        <f t="shared" ref="D179" si="42">+D180+D310</f>
        <v>28066636</v>
      </c>
      <c r="E179" s="100">
        <f t="shared" ref="E179" si="43">+E180+E310</f>
        <v>25384566.029999997</v>
      </c>
      <c r="F179" s="56" t="s">
        <v>1820</v>
      </c>
      <c r="G179" s="196"/>
      <c r="H179" s="70"/>
      <c r="J179" s="66"/>
      <c r="L179" s="70"/>
    </row>
    <row r="180" spans="1:12" ht="18.75">
      <c r="A180" s="187"/>
      <c r="B180" s="93" t="s">
        <v>527</v>
      </c>
      <c r="C180" s="94" t="s">
        <v>1404</v>
      </c>
      <c r="D180" s="92">
        <f t="shared" ref="D180" si="44">+D181+D189+D193+D212+D218+D223+D228+D238+D244+D251+D257+D262+D271+D279+D287+D301+D309</f>
        <v>9415066.5200000014</v>
      </c>
      <c r="E180" s="92">
        <f t="shared" ref="E180" si="45">+E181+E189+E193+E212+E218+E223+E228+E238+E244+E251+E257+E262+E271+E279+E287+E301+E309</f>
        <v>6968166.9200000009</v>
      </c>
      <c r="F180" s="56" t="s">
        <v>1820</v>
      </c>
      <c r="G180" s="196"/>
      <c r="H180" s="70"/>
      <c r="J180" s="66"/>
      <c r="L180" s="70"/>
    </row>
    <row r="181" spans="1:12" ht="25.5">
      <c r="A181" s="187"/>
      <c r="B181" s="118" t="s">
        <v>528</v>
      </c>
      <c r="C181" s="119" t="s">
        <v>1405</v>
      </c>
      <c r="D181" s="106">
        <f t="shared" ref="D181" si="46">+D182+D187+D188</f>
        <v>0</v>
      </c>
      <c r="E181" s="106">
        <f t="shared" ref="E181" si="47">+E182+E187+E188</f>
        <v>0</v>
      </c>
      <c r="F181" s="56" t="s">
        <v>1820</v>
      </c>
      <c r="G181" s="196"/>
      <c r="H181" s="70"/>
      <c r="J181" s="66"/>
      <c r="L181" s="70"/>
    </row>
    <row r="182" spans="1:12" ht="18.75">
      <c r="A182" s="187"/>
      <c r="B182" s="110" t="s">
        <v>529</v>
      </c>
      <c r="C182" s="111" t="s">
        <v>1406</v>
      </c>
      <c r="D182" s="109">
        <f t="shared" ref="D182" si="48">SUM(D183:D186)</f>
        <v>0</v>
      </c>
      <c r="E182" s="109">
        <f t="shared" ref="E182" si="49">SUM(E183:E186)</f>
        <v>0</v>
      </c>
      <c r="F182" s="56" t="s">
        <v>1820</v>
      </c>
      <c r="G182" s="196"/>
      <c r="H182" s="70"/>
      <c r="J182" s="66"/>
      <c r="L182" s="70"/>
    </row>
    <row r="183" spans="1:12" ht="18.75">
      <c r="A183" s="187"/>
      <c r="B183" s="73" t="s">
        <v>530</v>
      </c>
      <c r="C183" s="74" t="s">
        <v>1407</v>
      </c>
      <c r="D183" s="69">
        <f>+ROUND(SUM('10. Alimentazione CE Costi'!E108:E118),2)</f>
        <v>0</v>
      </c>
      <c r="E183" s="69">
        <f>+ROUND(SUM('10. Alimentazione CE Costi'!F108:F118),2)</f>
        <v>0</v>
      </c>
      <c r="F183" s="56"/>
      <c r="G183" s="196"/>
      <c r="H183" s="70"/>
      <c r="J183" s="66"/>
      <c r="L183" s="70"/>
    </row>
    <row r="184" spans="1:12" ht="18.75">
      <c r="A184" s="187"/>
      <c r="B184" s="73" t="s">
        <v>531</v>
      </c>
      <c r="C184" s="74" t="s">
        <v>1408</v>
      </c>
      <c r="D184" s="69">
        <f>+ROUND(SUM('10. Alimentazione CE Costi'!E120:E130),2)</f>
        <v>0</v>
      </c>
      <c r="E184" s="69">
        <f>+ROUND(SUM('10. Alimentazione CE Costi'!F120:F130),2)</f>
        <v>0</v>
      </c>
      <c r="F184" s="56"/>
      <c r="G184" s="196"/>
      <c r="H184" s="70"/>
      <c r="J184" s="66"/>
      <c r="L184" s="70"/>
    </row>
    <row r="185" spans="1:12" ht="18.75">
      <c r="A185" s="187"/>
      <c r="B185" s="73" t="s">
        <v>532</v>
      </c>
      <c r="C185" s="74" t="s">
        <v>1409</v>
      </c>
      <c r="D185" s="69">
        <f>+ROUND(SUM('10. Alimentazione CE Costi'!E132:E145),2)</f>
        <v>0</v>
      </c>
      <c r="E185" s="69">
        <f>+ROUND(SUM('10. Alimentazione CE Costi'!F132:F145),2)</f>
        <v>0</v>
      </c>
      <c r="F185" s="56"/>
      <c r="G185" s="196"/>
      <c r="H185" s="70"/>
      <c r="J185" s="66"/>
      <c r="L185" s="70"/>
    </row>
    <row r="186" spans="1:12" ht="25.5">
      <c r="A186" s="187"/>
      <c r="B186" s="73" t="s">
        <v>546</v>
      </c>
      <c r="C186" s="74" t="s">
        <v>1410</v>
      </c>
      <c r="D186" s="69">
        <f>+ROUND(SUM('10. Alimentazione CE Costi'!E147:E154),2)</f>
        <v>0</v>
      </c>
      <c r="E186" s="69">
        <f>+ROUND(SUM('10. Alimentazione CE Costi'!F147:F154),2)</f>
        <v>0</v>
      </c>
      <c r="F186" s="56"/>
      <c r="G186" s="196"/>
      <c r="H186" s="70"/>
      <c r="J186" s="66"/>
      <c r="L186" s="70"/>
    </row>
    <row r="187" spans="1:12" ht="25.5">
      <c r="A187" s="187" t="s">
        <v>1238</v>
      </c>
      <c r="B187" s="73" t="s">
        <v>548</v>
      </c>
      <c r="C187" s="74" t="s">
        <v>1411</v>
      </c>
      <c r="D187" s="69">
        <f>+ROUND('10. Alimentazione CE Costi'!E156,2)</f>
        <v>0</v>
      </c>
      <c r="E187" s="69">
        <f>+ROUND('10. Alimentazione CE Costi'!F156,2)</f>
        <v>0</v>
      </c>
      <c r="F187" s="56"/>
      <c r="G187" s="196"/>
      <c r="H187" s="70"/>
      <c r="J187" s="66"/>
      <c r="L187" s="70"/>
    </row>
    <row r="188" spans="1:12" ht="25.5">
      <c r="A188" s="187" t="s">
        <v>1283</v>
      </c>
      <c r="B188" s="73" t="s">
        <v>549</v>
      </c>
      <c r="C188" s="74" t="s">
        <v>1412</v>
      </c>
      <c r="D188" s="69">
        <f>+ROUND('10. Alimentazione CE Costi'!E158,2)</f>
        <v>0</v>
      </c>
      <c r="E188" s="69">
        <f>+ROUND('10. Alimentazione CE Costi'!F158,2)</f>
        <v>0</v>
      </c>
      <c r="F188" s="56"/>
      <c r="G188" s="196"/>
      <c r="H188" s="70"/>
      <c r="J188" s="66"/>
      <c r="L188" s="70"/>
    </row>
    <row r="189" spans="1:12" ht="18.75">
      <c r="A189" s="187"/>
      <c r="B189" s="118" t="s">
        <v>550</v>
      </c>
      <c r="C189" s="119" t="s">
        <v>1413</v>
      </c>
      <c r="D189" s="106">
        <f t="shared" ref="D189" si="50">+D190+D191+D192</f>
        <v>0</v>
      </c>
      <c r="E189" s="106">
        <f t="shared" ref="E189" si="51">+E190+E191+E192</f>
        <v>0</v>
      </c>
      <c r="F189" s="56" t="s">
        <v>1820</v>
      </c>
      <c r="G189" s="196"/>
      <c r="H189" s="70"/>
      <c r="J189" s="66"/>
      <c r="L189" s="70"/>
    </row>
    <row r="190" spans="1:12" ht="18.75">
      <c r="A190" s="187"/>
      <c r="B190" s="73" t="s">
        <v>551</v>
      </c>
      <c r="C190" s="74" t="s">
        <v>1414</v>
      </c>
      <c r="D190" s="69">
        <f>+ROUND('10. Alimentazione CE Costi'!E161+'10. Alimentazione CE Costi'!E162,2)</f>
        <v>0</v>
      </c>
      <c r="E190" s="69">
        <f>+ROUND('10. Alimentazione CE Costi'!F161+'10. Alimentazione CE Costi'!F162,2)</f>
        <v>0</v>
      </c>
      <c r="F190" s="56"/>
      <c r="G190" s="196"/>
      <c r="H190" s="70"/>
      <c r="J190" s="66"/>
      <c r="L190" s="70"/>
    </row>
    <row r="191" spans="1:12" ht="25.5">
      <c r="A191" s="187" t="s">
        <v>1238</v>
      </c>
      <c r="B191" s="73" t="s">
        <v>554</v>
      </c>
      <c r="C191" s="74" t="s">
        <v>1415</v>
      </c>
      <c r="D191" s="69">
        <f>+ROUND('10. Alimentazione CE Costi'!E164,2)</f>
        <v>0</v>
      </c>
      <c r="E191" s="69">
        <f>+ROUND('10. Alimentazione CE Costi'!F164,2)</f>
        <v>0</v>
      </c>
      <c r="F191" s="56"/>
      <c r="G191" s="196"/>
      <c r="H191" s="70"/>
      <c r="J191" s="66"/>
      <c r="L191" s="70"/>
    </row>
    <row r="192" spans="1:12" ht="18.75">
      <c r="A192" s="189" t="s">
        <v>1283</v>
      </c>
      <c r="B192" s="73" t="s">
        <v>555</v>
      </c>
      <c r="C192" s="74" t="s">
        <v>1416</v>
      </c>
      <c r="D192" s="69">
        <f>+ROUND('10. Alimentazione CE Costi'!E166,2)</f>
        <v>0</v>
      </c>
      <c r="E192" s="69">
        <f>+ROUND('10. Alimentazione CE Costi'!F166,2)</f>
        <v>0</v>
      </c>
      <c r="F192" s="290"/>
      <c r="G192" s="196"/>
      <c r="H192" s="70"/>
      <c r="J192" s="66"/>
      <c r="L192" s="70"/>
    </row>
    <row r="193" spans="1:12" ht="25.5">
      <c r="A193" s="189"/>
      <c r="B193" s="118" t="s">
        <v>556</v>
      </c>
      <c r="C193" s="119" t="s">
        <v>1417</v>
      </c>
      <c r="D193" s="106">
        <f t="shared" ref="D193" si="52">+D194+D195+D196+D197+D198+D199+D200+D201+D210+D211</f>
        <v>237.97</v>
      </c>
      <c r="E193" s="106">
        <f t="shared" ref="E193" si="53">+E194+E195+E196+E197+E198+E199+E200+E201+E210+E211</f>
        <v>959.34</v>
      </c>
      <c r="F193" s="56" t="s">
        <v>1820</v>
      </c>
      <c r="G193" s="196"/>
      <c r="H193" s="70"/>
      <c r="J193" s="66"/>
      <c r="L193" s="70"/>
    </row>
    <row r="194" spans="1:12" ht="25.5">
      <c r="A194" s="189" t="s">
        <v>1238</v>
      </c>
      <c r="B194" s="73" t="s">
        <v>557</v>
      </c>
      <c r="C194" s="74" t="s">
        <v>1418</v>
      </c>
      <c r="D194" s="69">
        <f>+ROUND('10. Alimentazione CE Costi'!E169+'10. Alimentazione CE Costi'!E170,2)</f>
        <v>0</v>
      </c>
      <c r="E194" s="69">
        <f>+ROUND('10. Alimentazione CE Costi'!F169+'10. Alimentazione CE Costi'!F170,2)</f>
        <v>588.6</v>
      </c>
      <c r="F194" s="290"/>
      <c r="G194" s="196"/>
      <c r="H194" s="70"/>
      <c r="J194" s="66"/>
      <c r="L194" s="70"/>
    </row>
    <row r="195" spans="1:12" ht="38.25">
      <c r="A195" s="189" t="s">
        <v>1238</v>
      </c>
      <c r="B195" s="73" t="s">
        <v>561</v>
      </c>
      <c r="C195" s="74" t="s">
        <v>1419</v>
      </c>
      <c r="D195" s="69">
        <f>+ROUND('10. Alimentazione CE Costi'!E172,2)</f>
        <v>0</v>
      </c>
      <c r="E195" s="69">
        <f>+ROUND('10. Alimentazione CE Costi'!F172,2)</f>
        <v>0</v>
      </c>
      <c r="F195" s="290"/>
      <c r="G195" s="196"/>
      <c r="H195" s="70"/>
      <c r="J195" s="66"/>
      <c r="L195" s="70"/>
    </row>
    <row r="196" spans="1:12" ht="18.75">
      <c r="A196" s="189"/>
      <c r="B196" s="73" t="s">
        <v>562</v>
      </c>
      <c r="C196" s="74" t="s">
        <v>1420</v>
      </c>
      <c r="D196" s="69">
        <f>+ROUND('10. Alimentazione CE Costi'!E174,2)</f>
        <v>0</v>
      </c>
      <c r="E196" s="69">
        <f>+ROUND('10. Alimentazione CE Costi'!F174,2)</f>
        <v>0</v>
      </c>
      <c r="F196" s="290"/>
      <c r="G196" s="196"/>
      <c r="H196" s="70"/>
      <c r="J196" s="66"/>
      <c r="L196" s="70"/>
    </row>
    <row r="197" spans="1:12" ht="25.5">
      <c r="A197" s="189"/>
      <c r="B197" s="73" t="s">
        <v>564</v>
      </c>
      <c r="C197" s="74" t="s">
        <v>1421</v>
      </c>
      <c r="D197" s="69">
        <f>+ROUND('10. Alimentazione CE Costi'!E176,2)</f>
        <v>0</v>
      </c>
      <c r="E197" s="69">
        <f>+ROUND('10. Alimentazione CE Costi'!F176,2)</f>
        <v>0</v>
      </c>
      <c r="F197" s="290"/>
      <c r="G197" s="196"/>
      <c r="H197" s="70"/>
      <c r="J197" s="66"/>
      <c r="L197" s="70"/>
    </row>
    <row r="198" spans="1:12" ht="18.75">
      <c r="A198" s="189" t="s">
        <v>1283</v>
      </c>
      <c r="B198" s="73" t="s">
        <v>565</v>
      </c>
      <c r="C198" s="74" t="s">
        <v>1422</v>
      </c>
      <c r="D198" s="69">
        <f>+ROUND('10. Alimentazione CE Costi'!E178,2)</f>
        <v>0</v>
      </c>
      <c r="E198" s="69">
        <f>+ROUND('10. Alimentazione CE Costi'!F178,2)</f>
        <v>0</v>
      </c>
      <c r="F198" s="290"/>
      <c r="G198" s="196"/>
      <c r="H198" s="70"/>
      <c r="J198" s="66"/>
      <c r="L198" s="70"/>
    </row>
    <row r="199" spans="1:12" ht="25.5">
      <c r="A199" s="189" t="s">
        <v>1283</v>
      </c>
      <c r="B199" s="73" t="s">
        <v>569</v>
      </c>
      <c r="C199" s="74" t="s">
        <v>1423</v>
      </c>
      <c r="D199" s="69">
        <f>+ROUND('10. Alimentazione CE Costi'!E180,2)</f>
        <v>0</v>
      </c>
      <c r="E199" s="69">
        <f>+ROUND('10. Alimentazione CE Costi'!F180,2)</f>
        <v>0</v>
      </c>
      <c r="F199" s="290"/>
      <c r="G199" s="196"/>
      <c r="H199" s="70"/>
      <c r="J199" s="66"/>
      <c r="L199" s="70"/>
    </row>
    <row r="200" spans="1:12" ht="18.75">
      <c r="A200" s="189"/>
      <c r="B200" s="73" t="s">
        <v>570</v>
      </c>
      <c r="C200" s="74" t="s">
        <v>1424</v>
      </c>
      <c r="D200" s="69">
        <f>+ROUND('10. Alimentazione CE Costi'!E182+'10. Alimentazione CE Costi'!E183+'10. Alimentazione CE Costi'!E184+'10. Alimentazione CE Costi'!E185+'10. Alimentazione CE Costi'!E186+'10. Alimentazione CE Costi'!E187+'10. Alimentazione CE Costi'!E188,2)</f>
        <v>0</v>
      </c>
      <c r="E200" s="69">
        <f>+ROUND('10. Alimentazione CE Costi'!F182+'10. Alimentazione CE Costi'!F183+'10. Alimentazione CE Costi'!F184+'10. Alimentazione CE Costi'!F185+'10. Alimentazione CE Costi'!F186+'10. Alimentazione CE Costi'!F187+'10. Alimentazione CE Costi'!F188,2)</f>
        <v>0</v>
      </c>
      <c r="F200" s="290"/>
      <c r="G200" s="196"/>
      <c r="H200" s="70"/>
      <c r="J200" s="66"/>
      <c r="L200" s="70"/>
    </row>
    <row r="201" spans="1:12" ht="18.75">
      <c r="A201" s="189"/>
      <c r="B201" s="110" t="s">
        <v>571</v>
      </c>
      <c r="C201" s="111" t="s">
        <v>1425</v>
      </c>
      <c r="D201" s="109">
        <f t="shared" ref="D201" si="54">SUM(D202:D209)</f>
        <v>237.97</v>
      </c>
      <c r="E201" s="109">
        <f t="shared" ref="E201" si="55">SUM(E202:E209)</f>
        <v>370.74</v>
      </c>
      <c r="F201" s="56" t="s">
        <v>1820</v>
      </c>
      <c r="G201" s="196"/>
      <c r="H201" s="70"/>
      <c r="J201" s="66"/>
      <c r="L201" s="70"/>
    </row>
    <row r="202" spans="1:12" ht="25.5">
      <c r="A202" s="189"/>
      <c r="B202" s="75" t="s">
        <v>573</v>
      </c>
      <c r="C202" s="76" t="s">
        <v>1426</v>
      </c>
      <c r="D202" s="69">
        <f>+ROUND('10. Alimentazione CE Costi'!E191,2)</f>
        <v>0</v>
      </c>
      <c r="E202" s="69">
        <f>+ROUND('10. Alimentazione CE Costi'!F191,2)</f>
        <v>0</v>
      </c>
      <c r="F202" s="290"/>
      <c r="G202" s="196"/>
      <c r="H202" s="70"/>
      <c r="J202" s="66"/>
      <c r="L202" s="70"/>
    </row>
    <row r="203" spans="1:12" ht="38.25">
      <c r="A203" s="189"/>
      <c r="B203" s="75" t="s">
        <v>574</v>
      </c>
      <c r="C203" s="76" t="s">
        <v>1427</v>
      </c>
      <c r="D203" s="69">
        <f>+ROUND('10. Alimentazione CE Costi'!E193,2)</f>
        <v>0</v>
      </c>
      <c r="E203" s="69">
        <f>+ROUND('10. Alimentazione CE Costi'!F193,2)</f>
        <v>0</v>
      </c>
      <c r="F203" s="290"/>
      <c r="G203" s="196"/>
      <c r="H203" s="70"/>
      <c r="J203" s="66"/>
      <c r="L203" s="70"/>
    </row>
    <row r="204" spans="1:12" ht="25.5">
      <c r="A204" s="189"/>
      <c r="B204" s="75" t="s">
        <v>576</v>
      </c>
      <c r="C204" s="76" t="s">
        <v>1428</v>
      </c>
      <c r="D204" s="69">
        <f>+ROUND('10. Alimentazione CE Costi'!E195,2)</f>
        <v>0</v>
      </c>
      <c r="E204" s="69">
        <f>+ROUND('10. Alimentazione CE Costi'!F195,2)</f>
        <v>0</v>
      </c>
      <c r="F204" s="290"/>
      <c r="G204" s="196"/>
      <c r="H204" s="70"/>
      <c r="J204" s="66"/>
      <c r="L204" s="70"/>
    </row>
    <row r="205" spans="1:12" ht="38.25">
      <c r="A205" s="189"/>
      <c r="B205" s="75" t="s">
        <v>578</v>
      </c>
      <c r="C205" s="76" t="s">
        <v>1429</v>
      </c>
      <c r="D205" s="69">
        <f>+ROUND('10. Alimentazione CE Costi'!E197,2)</f>
        <v>0</v>
      </c>
      <c r="E205" s="69">
        <f>+ROUND('10. Alimentazione CE Costi'!F197,2)</f>
        <v>0</v>
      </c>
      <c r="F205" s="290"/>
      <c r="G205" s="196"/>
      <c r="H205" s="70"/>
      <c r="J205" s="66"/>
      <c r="L205" s="70"/>
    </row>
    <row r="206" spans="1:12" ht="25.5">
      <c r="A206" s="189"/>
      <c r="B206" s="75" t="s">
        <v>580</v>
      </c>
      <c r="C206" s="76" t="s">
        <v>1430</v>
      </c>
      <c r="D206" s="69">
        <f>+ROUND('10. Alimentazione CE Costi'!E199,2)</f>
        <v>237.97</v>
      </c>
      <c r="E206" s="69">
        <f>+ROUND('10. Alimentazione CE Costi'!F199,2)</f>
        <v>370.74</v>
      </c>
      <c r="F206" s="290"/>
      <c r="G206" s="196"/>
      <c r="H206" s="70"/>
      <c r="J206" s="66"/>
      <c r="L206" s="70"/>
    </row>
    <row r="207" spans="1:12" ht="25.5">
      <c r="A207" s="189"/>
      <c r="B207" s="75" t="s">
        <v>582</v>
      </c>
      <c r="C207" s="76" t="s">
        <v>1431</v>
      </c>
      <c r="D207" s="69">
        <f>+ROUND('10. Alimentazione CE Costi'!E201,2)</f>
        <v>0</v>
      </c>
      <c r="E207" s="69">
        <f>+ROUND('10. Alimentazione CE Costi'!F201,2)</f>
        <v>0</v>
      </c>
      <c r="F207" s="290"/>
      <c r="G207" s="196"/>
      <c r="H207" s="70"/>
      <c r="J207" s="66"/>
      <c r="L207" s="70"/>
    </row>
    <row r="208" spans="1:12" ht="25.5">
      <c r="A208" s="189"/>
      <c r="B208" s="75" t="s">
        <v>584</v>
      </c>
      <c r="C208" s="76" t="s">
        <v>1432</v>
      </c>
      <c r="D208" s="69">
        <f>+ROUND('10. Alimentazione CE Costi'!E203,2)</f>
        <v>0</v>
      </c>
      <c r="E208" s="69">
        <f>+ROUND('10. Alimentazione CE Costi'!F203,2)</f>
        <v>0</v>
      </c>
      <c r="F208" s="290"/>
      <c r="G208" s="196"/>
      <c r="H208" s="70"/>
      <c r="J208" s="66"/>
      <c r="L208" s="70"/>
    </row>
    <row r="209" spans="1:12" ht="25.5">
      <c r="A209" s="189"/>
      <c r="B209" s="75" t="s">
        <v>586</v>
      </c>
      <c r="C209" s="76" t="s">
        <v>1433</v>
      </c>
      <c r="D209" s="69">
        <f>+ROUND('10. Alimentazione CE Costi'!E205,2)</f>
        <v>0</v>
      </c>
      <c r="E209" s="69">
        <f>+ROUND('10. Alimentazione CE Costi'!F205,2)</f>
        <v>0</v>
      </c>
      <c r="F209" s="290"/>
      <c r="G209" s="196"/>
      <c r="H209" s="70"/>
      <c r="J209" s="66"/>
      <c r="L209" s="70"/>
    </row>
    <row r="210" spans="1:12" ht="25.5">
      <c r="A210" s="189"/>
      <c r="B210" s="73" t="s">
        <v>587</v>
      </c>
      <c r="C210" s="74" t="s">
        <v>1434</v>
      </c>
      <c r="D210" s="69">
        <f>+ROUND('10. Alimentazione CE Costi'!E207,2)</f>
        <v>0</v>
      </c>
      <c r="E210" s="69">
        <f>+ROUND('10. Alimentazione CE Costi'!F207,2)</f>
        <v>0</v>
      </c>
      <c r="F210" s="290"/>
      <c r="G210" s="196"/>
      <c r="H210" s="70"/>
      <c r="J210" s="66"/>
      <c r="L210" s="70"/>
    </row>
    <row r="211" spans="1:12" ht="51">
      <c r="A211" s="189"/>
      <c r="B211" s="75" t="s">
        <v>589</v>
      </c>
      <c r="C211" s="76" t="s">
        <v>1435</v>
      </c>
      <c r="D211" s="69">
        <f>+ROUND('10. Alimentazione CE Costi'!E209,2)</f>
        <v>0</v>
      </c>
      <c r="E211" s="69">
        <f>+ROUND('10. Alimentazione CE Costi'!F209,2)</f>
        <v>0</v>
      </c>
      <c r="F211" s="290"/>
      <c r="G211" s="196"/>
      <c r="H211" s="70"/>
      <c r="J211" s="66"/>
      <c r="L211" s="70"/>
    </row>
    <row r="212" spans="1:12" ht="25.5">
      <c r="A212" s="187"/>
      <c r="B212" s="118" t="s">
        <v>590</v>
      </c>
      <c r="C212" s="119" t="s">
        <v>1436</v>
      </c>
      <c r="D212" s="106">
        <f t="shared" ref="D212" si="56">SUM(D213:D217)</f>
        <v>0</v>
      </c>
      <c r="E212" s="106">
        <f t="shared" ref="E212" si="57">SUM(E213:E217)</f>
        <v>0</v>
      </c>
      <c r="F212" s="56" t="s">
        <v>1820</v>
      </c>
      <c r="G212" s="196"/>
      <c r="H212" s="70"/>
      <c r="J212" s="66"/>
      <c r="L212" s="70"/>
    </row>
    <row r="213" spans="1:12" ht="25.5">
      <c r="A213" s="187" t="s">
        <v>1238</v>
      </c>
      <c r="B213" s="73" t="s">
        <v>591</v>
      </c>
      <c r="C213" s="74" t="s">
        <v>1437</v>
      </c>
      <c r="D213" s="69">
        <f>+ROUND('10. Alimentazione CE Costi'!E212,2)</f>
        <v>0</v>
      </c>
      <c r="E213" s="69">
        <f>+ROUND('10. Alimentazione CE Costi'!F212,2)</f>
        <v>0</v>
      </c>
      <c r="F213" s="56"/>
      <c r="G213" s="196"/>
      <c r="H213" s="70"/>
      <c r="J213" s="66"/>
      <c r="L213" s="70"/>
    </row>
    <row r="214" spans="1:12" ht="18.75">
      <c r="A214" s="187"/>
      <c r="B214" s="73" t="s">
        <v>592</v>
      </c>
      <c r="C214" s="74" t="s">
        <v>1438</v>
      </c>
      <c r="D214" s="69">
        <f>+ROUND('10. Alimentazione CE Costi'!E214,2)</f>
        <v>0</v>
      </c>
      <c r="E214" s="69">
        <f>+ROUND('10. Alimentazione CE Costi'!F214,2)</f>
        <v>0</v>
      </c>
      <c r="F214" s="56"/>
      <c r="G214" s="196"/>
      <c r="H214" s="70"/>
      <c r="J214" s="66"/>
      <c r="L214" s="70"/>
    </row>
    <row r="215" spans="1:12" ht="25.5">
      <c r="A215" s="187" t="s">
        <v>1287</v>
      </c>
      <c r="B215" s="73" t="s">
        <v>593</v>
      </c>
      <c r="C215" s="74" t="s">
        <v>1439</v>
      </c>
      <c r="D215" s="69">
        <f>+ROUND('10. Alimentazione CE Costi'!E216,2)</f>
        <v>0</v>
      </c>
      <c r="E215" s="69">
        <f>+ROUND('10. Alimentazione CE Costi'!F216,2)</f>
        <v>0</v>
      </c>
      <c r="F215" s="56"/>
      <c r="G215" s="196"/>
      <c r="H215" s="70"/>
      <c r="J215" s="66"/>
      <c r="L215" s="70"/>
    </row>
    <row r="216" spans="1:12" ht="18.75">
      <c r="A216" s="187"/>
      <c r="B216" s="73" t="s">
        <v>594</v>
      </c>
      <c r="C216" s="74" t="s">
        <v>1440</v>
      </c>
      <c r="D216" s="69">
        <f>+ROUND('10. Alimentazione CE Costi'!E218+'10. Alimentazione CE Costi'!E219,2)</f>
        <v>0</v>
      </c>
      <c r="E216" s="69">
        <f>+ROUND('10. Alimentazione CE Costi'!F218+'10. Alimentazione CE Costi'!F219,2)</f>
        <v>0</v>
      </c>
      <c r="F216" s="56"/>
      <c r="G216" s="196"/>
      <c r="H216" s="70"/>
      <c r="J216" s="66"/>
      <c r="L216" s="70"/>
    </row>
    <row r="217" spans="1:12" ht="18.75">
      <c r="A217" s="187"/>
      <c r="B217" s="73" t="s">
        <v>595</v>
      </c>
      <c r="C217" s="74" t="s">
        <v>1441</v>
      </c>
      <c r="D217" s="69">
        <f>+ROUND('10. Alimentazione CE Costi'!E221+'10. Alimentazione CE Costi'!E222,2)</f>
        <v>0</v>
      </c>
      <c r="E217" s="69">
        <f>+ROUND('10. Alimentazione CE Costi'!F221+'10. Alimentazione CE Costi'!F222,2)</f>
        <v>0</v>
      </c>
      <c r="F217" s="56"/>
      <c r="G217" s="196"/>
      <c r="H217" s="70"/>
      <c r="J217" s="66"/>
      <c r="L217" s="70"/>
    </row>
    <row r="218" spans="1:12" ht="25.5">
      <c r="A218" s="187"/>
      <c r="B218" s="118" t="s">
        <v>596</v>
      </c>
      <c r="C218" s="119" t="s">
        <v>1442</v>
      </c>
      <c r="D218" s="106">
        <f t="shared" ref="D218" si="58">SUM(D219:D222)</f>
        <v>0</v>
      </c>
      <c r="E218" s="106">
        <f t="shared" ref="E218" si="59">SUM(E219:E222)</f>
        <v>0</v>
      </c>
      <c r="F218" s="56" t="s">
        <v>1820</v>
      </c>
      <c r="G218" s="196"/>
      <c r="H218" s="70"/>
      <c r="J218" s="66"/>
      <c r="L218" s="70"/>
    </row>
    <row r="219" spans="1:12" ht="25.5">
      <c r="A219" s="187" t="s">
        <v>1238</v>
      </c>
      <c r="B219" s="73" t="s">
        <v>597</v>
      </c>
      <c r="C219" s="74" t="s">
        <v>1443</v>
      </c>
      <c r="D219" s="69">
        <f>+ROUND('10. Alimentazione CE Costi'!E225,2)</f>
        <v>0</v>
      </c>
      <c r="E219" s="69">
        <f>+ROUND('10. Alimentazione CE Costi'!F225,2)</f>
        <v>0</v>
      </c>
      <c r="F219" s="56"/>
      <c r="G219" s="196"/>
      <c r="H219" s="70"/>
      <c r="J219" s="66"/>
      <c r="L219" s="70"/>
    </row>
    <row r="220" spans="1:12" ht="18.75">
      <c r="A220" s="187"/>
      <c r="B220" s="73" t="s">
        <v>598</v>
      </c>
      <c r="C220" s="74" t="s">
        <v>1444</v>
      </c>
      <c r="D220" s="69">
        <f>+ROUND('10. Alimentazione CE Costi'!E227,2)</f>
        <v>0</v>
      </c>
      <c r="E220" s="69">
        <f>+ROUND('10. Alimentazione CE Costi'!F227,2)</f>
        <v>0</v>
      </c>
      <c r="F220" s="56"/>
      <c r="G220" s="196"/>
      <c r="H220" s="70"/>
      <c r="J220" s="66"/>
      <c r="L220" s="70"/>
    </row>
    <row r="221" spans="1:12" ht="18.75">
      <c r="A221" s="189" t="s">
        <v>1283</v>
      </c>
      <c r="B221" s="73" t="s">
        <v>599</v>
      </c>
      <c r="C221" s="74" t="s">
        <v>1445</v>
      </c>
      <c r="D221" s="69">
        <f>+ROUND('10. Alimentazione CE Costi'!E229,2)</f>
        <v>0</v>
      </c>
      <c r="E221" s="69">
        <f>+ROUND('10. Alimentazione CE Costi'!F229,2)</f>
        <v>0</v>
      </c>
      <c r="F221" s="290"/>
      <c r="G221" s="196"/>
      <c r="H221" s="70"/>
      <c r="J221" s="66"/>
      <c r="L221" s="70"/>
    </row>
    <row r="222" spans="1:12" ht="18.75">
      <c r="A222" s="189"/>
      <c r="B222" s="73" t="s">
        <v>600</v>
      </c>
      <c r="C222" s="74" t="s">
        <v>1446</v>
      </c>
      <c r="D222" s="69">
        <f>+ROUND('10. Alimentazione CE Costi'!E231+'10. Alimentazione CE Costi'!E232+'10. Alimentazione CE Costi'!E233,2)</f>
        <v>0</v>
      </c>
      <c r="E222" s="69">
        <f>+ROUND('10. Alimentazione CE Costi'!F231+'10. Alimentazione CE Costi'!F232+'10. Alimentazione CE Costi'!F233,2)</f>
        <v>0</v>
      </c>
      <c r="F222" s="290"/>
      <c r="G222" s="196"/>
      <c r="H222" s="70"/>
      <c r="J222" s="66"/>
      <c r="L222" s="70"/>
    </row>
    <row r="223" spans="1:12" ht="25.5">
      <c r="A223" s="189"/>
      <c r="B223" s="118" t="s">
        <v>1447</v>
      </c>
      <c r="C223" s="119" t="s">
        <v>1448</v>
      </c>
      <c r="D223" s="106">
        <f t="shared" ref="D223" si="60">SUM(D224:D227)</f>
        <v>0</v>
      </c>
      <c r="E223" s="106">
        <f t="shared" ref="E223" si="61">SUM(E224:E227)</f>
        <v>0</v>
      </c>
      <c r="F223" s="56" t="s">
        <v>1820</v>
      </c>
      <c r="G223" s="196"/>
      <c r="H223" s="70"/>
      <c r="J223" s="66"/>
      <c r="L223" s="70"/>
    </row>
    <row r="224" spans="1:12" ht="25.5">
      <c r="A224" s="189" t="s">
        <v>1238</v>
      </c>
      <c r="B224" s="73" t="s">
        <v>605</v>
      </c>
      <c r="C224" s="74" t="s">
        <v>1449</v>
      </c>
      <c r="D224" s="69">
        <f>+ROUND('10. Alimentazione CE Costi'!E236,2)</f>
        <v>0</v>
      </c>
      <c r="E224" s="69">
        <f>+ROUND('10. Alimentazione CE Costi'!F236,2)</f>
        <v>0</v>
      </c>
      <c r="F224" s="290"/>
      <c r="G224" s="196"/>
      <c r="H224" s="70"/>
      <c r="J224" s="66"/>
      <c r="L224" s="70"/>
    </row>
    <row r="225" spans="1:12" ht="18.75">
      <c r="A225" s="189"/>
      <c r="B225" s="73" t="s">
        <v>606</v>
      </c>
      <c r="C225" s="74" t="s">
        <v>1450</v>
      </c>
      <c r="D225" s="69">
        <f>+ROUND('10. Alimentazione CE Costi'!E238,2)</f>
        <v>0</v>
      </c>
      <c r="E225" s="69">
        <f>+ROUND('10. Alimentazione CE Costi'!F238,2)</f>
        <v>0</v>
      </c>
      <c r="F225" s="290"/>
      <c r="G225" s="196"/>
      <c r="H225" s="70"/>
      <c r="J225" s="66"/>
      <c r="L225" s="70"/>
    </row>
    <row r="226" spans="1:12" ht="18.75">
      <c r="A226" s="189" t="s">
        <v>1283</v>
      </c>
      <c r="B226" s="73" t="s">
        <v>607</v>
      </c>
      <c r="C226" s="74" t="s">
        <v>1451</v>
      </c>
      <c r="D226" s="69">
        <f>+ROUND('10. Alimentazione CE Costi'!E240,2)</f>
        <v>0</v>
      </c>
      <c r="E226" s="69">
        <f>+ROUND('10. Alimentazione CE Costi'!F240,2)</f>
        <v>0</v>
      </c>
      <c r="F226" s="290"/>
      <c r="G226" s="196"/>
      <c r="H226" s="70"/>
      <c r="J226" s="66"/>
      <c r="L226" s="70"/>
    </row>
    <row r="227" spans="1:12" ht="18.75">
      <c r="A227" s="189"/>
      <c r="B227" s="73" t="s">
        <v>608</v>
      </c>
      <c r="C227" s="74" t="s">
        <v>1452</v>
      </c>
      <c r="D227" s="69">
        <f>+ROUND('10. Alimentazione CE Costi'!E242+'10. Alimentazione CE Costi'!E243,2)</f>
        <v>0</v>
      </c>
      <c r="E227" s="69">
        <f>+ROUND('10. Alimentazione CE Costi'!F242+'10. Alimentazione CE Costi'!F243,2)</f>
        <v>0</v>
      </c>
      <c r="F227" s="290"/>
      <c r="G227" s="196"/>
      <c r="H227" s="70"/>
      <c r="J227" s="66"/>
      <c r="L227" s="70"/>
    </row>
    <row r="228" spans="1:12" ht="25.5">
      <c r="A228" s="189"/>
      <c r="B228" s="118" t="s">
        <v>611</v>
      </c>
      <c r="C228" s="119" t="s">
        <v>1453</v>
      </c>
      <c r="D228" s="106">
        <f t="shared" ref="D228" si="62">SUM(D229:D232,D237)</f>
        <v>0</v>
      </c>
      <c r="E228" s="106">
        <f t="shared" ref="E228" si="63">SUM(E229:E232,E237)</f>
        <v>0</v>
      </c>
      <c r="F228" s="56" t="s">
        <v>1820</v>
      </c>
      <c r="G228" s="196"/>
      <c r="H228" s="70"/>
      <c r="J228" s="66"/>
      <c r="L228" s="70"/>
    </row>
    <row r="229" spans="1:12" ht="25.5">
      <c r="A229" s="189" t="s">
        <v>1238</v>
      </c>
      <c r="B229" s="73" t="s">
        <v>612</v>
      </c>
      <c r="C229" s="74" t="s">
        <v>1454</v>
      </c>
      <c r="D229" s="69">
        <f>+ROUND('10. Alimentazione CE Costi'!E246+'10. Alimentazione CE Costi'!E247,2)</f>
        <v>0</v>
      </c>
      <c r="E229" s="69">
        <f>+ROUND('10. Alimentazione CE Costi'!F246+'10. Alimentazione CE Costi'!F247,2)</f>
        <v>0</v>
      </c>
      <c r="F229" s="290"/>
      <c r="G229" s="196"/>
      <c r="H229" s="70"/>
      <c r="J229" s="66"/>
      <c r="L229" s="70"/>
    </row>
    <row r="230" spans="1:12" ht="18.75">
      <c r="A230" s="189"/>
      <c r="B230" s="73" t="s">
        <v>615</v>
      </c>
      <c r="C230" s="74" t="s">
        <v>1455</v>
      </c>
      <c r="D230" s="69">
        <f>+ROUND('10. Alimentazione CE Costi'!E249,2)</f>
        <v>0</v>
      </c>
      <c r="E230" s="69">
        <f>+ROUND('10. Alimentazione CE Costi'!F249,2)</f>
        <v>0</v>
      </c>
      <c r="F230" s="290"/>
      <c r="G230" s="196"/>
      <c r="H230" s="70"/>
      <c r="J230" s="66"/>
      <c r="L230" s="70"/>
    </row>
    <row r="231" spans="1:12" ht="18.75">
      <c r="A231" s="189" t="s">
        <v>1283</v>
      </c>
      <c r="B231" s="73" t="s">
        <v>616</v>
      </c>
      <c r="C231" s="74" t="s">
        <v>1456</v>
      </c>
      <c r="D231" s="69">
        <f>+ROUND('10. Alimentazione CE Costi'!E251,2)</f>
        <v>0</v>
      </c>
      <c r="E231" s="69">
        <f>+ROUND('10. Alimentazione CE Costi'!F251,2)</f>
        <v>0</v>
      </c>
      <c r="F231" s="290"/>
      <c r="G231" s="196"/>
      <c r="H231" s="70"/>
      <c r="J231" s="66"/>
      <c r="L231" s="70"/>
    </row>
    <row r="232" spans="1:12" ht="18.75">
      <c r="A232" s="189"/>
      <c r="B232" s="110" t="s">
        <v>619</v>
      </c>
      <c r="C232" s="111" t="s">
        <v>1457</v>
      </c>
      <c r="D232" s="109">
        <f t="shared" ref="D232" si="64">SUM(D233:D236)</f>
        <v>0</v>
      </c>
      <c r="E232" s="109">
        <f t="shared" ref="E232" si="65">SUM(E233:E236)</f>
        <v>0</v>
      </c>
      <c r="F232" s="56" t="s">
        <v>1820</v>
      </c>
      <c r="G232" s="196"/>
      <c r="H232" s="70"/>
      <c r="J232" s="66"/>
      <c r="L232" s="70"/>
    </row>
    <row r="233" spans="1:12" ht="25.5">
      <c r="A233" s="189"/>
      <c r="B233" s="75" t="s">
        <v>621</v>
      </c>
      <c r="C233" s="76" t="s">
        <v>1458</v>
      </c>
      <c r="D233" s="69">
        <f>+ROUND('10. Alimentazione CE Costi'!E254,2)</f>
        <v>0</v>
      </c>
      <c r="E233" s="69">
        <f>+ROUND('10. Alimentazione CE Costi'!F254,2)</f>
        <v>0</v>
      </c>
      <c r="F233" s="290"/>
      <c r="G233" s="196"/>
      <c r="H233" s="70"/>
      <c r="J233" s="66"/>
      <c r="L233" s="70"/>
    </row>
    <row r="234" spans="1:12" ht="25.5">
      <c r="A234" s="189"/>
      <c r="B234" s="75" t="s">
        <v>623</v>
      </c>
      <c r="C234" s="76" t="s">
        <v>1459</v>
      </c>
      <c r="D234" s="69">
        <f>+ROUND('10. Alimentazione CE Costi'!E256,2)</f>
        <v>0</v>
      </c>
      <c r="E234" s="69">
        <f>+ROUND('10. Alimentazione CE Costi'!F256,2)</f>
        <v>0</v>
      </c>
      <c r="F234" s="290"/>
      <c r="G234" s="196"/>
      <c r="H234" s="70"/>
      <c r="J234" s="66"/>
      <c r="L234" s="70"/>
    </row>
    <row r="235" spans="1:12" ht="25.5">
      <c r="A235" s="189"/>
      <c r="B235" s="75" t="s">
        <v>625</v>
      </c>
      <c r="C235" s="76" t="s">
        <v>1460</v>
      </c>
      <c r="D235" s="69">
        <f>+ROUND('10. Alimentazione CE Costi'!E258,2)</f>
        <v>0</v>
      </c>
      <c r="E235" s="69">
        <f>+ROUND('10. Alimentazione CE Costi'!F258,2)</f>
        <v>0</v>
      </c>
      <c r="F235" s="290"/>
      <c r="G235" s="196"/>
      <c r="H235" s="70"/>
      <c r="J235" s="66"/>
      <c r="L235" s="70"/>
    </row>
    <row r="236" spans="1:12" ht="25.5">
      <c r="A236" s="189"/>
      <c r="B236" s="75" t="s">
        <v>627</v>
      </c>
      <c r="C236" s="76" t="s">
        <v>1461</v>
      </c>
      <c r="D236" s="69">
        <f>+ROUND('10. Alimentazione CE Costi'!E260,2)</f>
        <v>0</v>
      </c>
      <c r="E236" s="69">
        <f>+ROUND('10. Alimentazione CE Costi'!F260,2)</f>
        <v>0</v>
      </c>
      <c r="F236" s="290"/>
      <c r="G236" s="196"/>
      <c r="H236" s="70"/>
      <c r="J236" s="66"/>
      <c r="L236" s="70"/>
    </row>
    <row r="237" spans="1:12" ht="25.5">
      <c r="A237" s="189"/>
      <c r="B237" s="73" t="s">
        <v>628</v>
      </c>
      <c r="C237" s="74" t="s">
        <v>1462</v>
      </c>
      <c r="D237" s="69">
        <f>+ROUND('10. Alimentazione CE Costi'!E262,2)</f>
        <v>0</v>
      </c>
      <c r="E237" s="69">
        <f>+ROUND('10. Alimentazione CE Costi'!F262,2)</f>
        <v>0</v>
      </c>
      <c r="F237" s="290"/>
      <c r="G237" s="196"/>
      <c r="H237" s="70"/>
      <c r="J237" s="66"/>
      <c r="L237" s="70"/>
    </row>
    <row r="238" spans="1:12" ht="25.5">
      <c r="A238" s="189"/>
      <c r="B238" s="118" t="s">
        <v>629</v>
      </c>
      <c r="C238" s="119" t="s">
        <v>1463</v>
      </c>
      <c r="D238" s="106">
        <f t="shared" ref="D238" si="66">SUM(D239:D243)</f>
        <v>0</v>
      </c>
      <c r="E238" s="106">
        <f t="shared" ref="E238" si="67">SUM(E239:E243)</f>
        <v>0</v>
      </c>
      <c r="F238" s="56" t="s">
        <v>1820</v>
      </c>
      <c r="G238" s="196"/>
      <c r="H238" s="70"/>
      <c r="J238" s="66"/>
      <c r="L238" s="70"/>
    </row>
    <row r="239" spans="1:12" ht="25.5">
      <c r="A239" s="189" t="s">
        <v>1238</v>
      </c>
      <c r="B239" s="73" t="s">
        <v>630</v>
      </c>
      <c r="C239" s="74" t="s">
        <v>1464</v>
      </c>
      <c r="D239" s="69">
        <f>+ROUND('10. Alimentazione CE Costi'!E265,2)</f>
        <v>0</v>
      </c>
      <c r="E239" s="69">
        <f>+ROUND('10. Alimentazione CE Costi'!F265,2)</f>
        <v>0</v>
      </c>
      <c r="F239" s="290"/>
      <c r="G239" s="196"/>
      <c r="H239" s="70"/>
      <c r="J239" s="66"/>
      <c r="L239" s="70"/>
    </row>
    <row r="240" spans="1:12" ht="18.75">
      <c r="A240" s="187"/>
      <c r="B240" s="73" t="s">
        <v>631</v>
      </c>
      <c r="C240" s="74" t="s">
        <v>1465</v>
      </c>
      <c r="D240" s="69">
        <f>+ROUND('10. Alimentazione CE Costi'!E267,2)</f>
        <v>0</v>
      </c>
      <c r="E240" s="69">
        <f>+ROUND('10. Alimentazione CE Costi'!F267,2)</f>
        <v>0</v>
      </c>
      <c r="F240" s="56"/>
      <c r="G240" s="196"/>
      <c r="H240" s="70"/>
      <c r="J240" s="66"/>
      <c r="L240" s="70"/>
    </row>
    <row r="241" spans="1:12" ht="25.5">
      <c r="A241" s="187" t="s">
        <v>1287</v>
      </c>
      <c r="B241" s="73" t="s">
        <v>632</v>
      </c>
      <c r="C241" s="74" t="s">
        <v>1466</v>
      </c>
      <c r="D241" s="69">
        <f>+ROUND('10. Alimentazione CE Costi'!E269,2)</f>
        <v>0</v>
      </c>
      <c r="E241" s="69">
        <f>+ROUND('10. Alimentazione CE Costi'!F269,2)</f>
        <v>0</v>
      </c>
      <c r="F241" s="56"/>
      <c r="G241" s="196"/>
      <c r="H241" s="70"/>
      <c r="J241" s="66"/>
      <c r="L241" s="70"/>
    </row>
    <row r="242" spans="1:12" ht="18.75">
      <c r="A242" s="187"/>
      <c r="B242" s="73" t="s">
        <v>633</v>
      </c>
      <c r="C242" s="74" t="s">
        <v>1467</v>
      </c>
      <c r="D242" s="69">
        <f>+ROUND('10. Alimentazione CE Costi'!E271,2)</f>
        <v>0</v>
      </c>
      <c r="E242" s="69">
        <f>+ROUND('10. Alimentazione CE Costi'!F271,2)</f>
        <v>0</v>
      </c>
      <c r="F242" s="56"/>
      <c r="G242" s="196"/>
      <c r="H242" s="70"/>
      <c r="J242" s="66"/>
      <c r="L242" s="70"/>
    </row>
    <row r="243" spans="1:12" ht="18.75">
      <c r="A243" s="187"/>
      <c r="B243" s="73" t="s">
        <v>634</v>
      </c>
      <c r="C243" s="74" t="s">
        <v>1468</v>
      </c>
      <c r="D243" s="69">
        <f>+ROUND('10. Alimentazione CE Costi'!E273,2)</f>
        <v>0</v>
      </c>
      <c r="E243" s="69">
        <f>+ROUND('10. Alimentazione CE Costi'!F273,2)</f>
        <v>0</v>
      </c>
      <c r="F243" s="56"/>
      <c r="G243" s="196"/>
      <c r="H243" s="70"/>
      <c r="J243" s="66"/>
      <c r="L243" s="70"/>
    </row>
    <row r="244" spans="1:12" ht="25.5">
      <c r="A244" s="187"/>
      <c r="B244" s="118" t="s">
        <v>635</v>
      </c>
      <c r="C244" s="119" t="s">
        <v>1469</v>
      </c>
      <c r="D244" s="106">
        <f t="shared" ref="D244" si="68">SUM(D245:D250)</f>
        <v>0</v>
      </c>
      <c r="E244" s="106">
        <f t="shared" ref="E244" si="69">SUM(E245:E250)</f>
        <v>0</v>
      </c>
      <c r="F244" s="56" t="s">
        <v>1820</v>
      </c>
      <c r="G244" s="196"/>
      <c r="H244" s="70"/>
      <c r="J244" s="66"/>
      <c r="L244" s="70"/>
    </row>
    <row r="245" spans="1:12" ht="25.5">
      <c r="A245" s="187" t="s">
        <v>1238</v>
      </c>
      <c r="B245" s="73" t="s">
        <v>636</v>
      </c>
      <c r="C245" s="74" t="s">
        <v>1470</v>
      </c>
      <c r="D245" s="69">
        <f>+ROUND('10. Alimentazione CE Costi'!E276+'10. Alimentazione CE Costi'!E277,2)</f>
        <v>0</v>
      </c>
      <c r="E245" s="69">
        <f>+ROUND('10. Alimentazione CE Costi'!F276+'10. Alimentazione CE Costi'!F277,2)</f>
        <v>0</v>
      </c>
      <c r="F245" s="56"/>
      <c r="G245" s="196"/>
      <c r="H245" s="70"/>
      <c r="J245" s="66"/>
      <c r="L245" s="70"/>
    </row>
    <row r="246" spans="1:12" ht="18.75">
      <c r="A246" s="187"/>
      <c r="B246" s="73" t="s">
        <v>639</v>
      </c>
      <c r="C246" s="74" t="s">
        <v>1471</v>
      </c>
      <c r="D246" s="69">
        <f>+ROUND('10. Alimentazione CE Costi'!E279,2)</f>
        <v>0</v>
      </c>
      <c r="E246" s="69">
        <f>+ROUND('10. Alimentazione CE Costi'!F279,2)</f>
        <v>0</v>
      </c>
      <c r="F246" s="56"/>
      <c r="G246" s="196"/>
      <c r="H246" s="70"/>
      <c r="J246" s="66"/>
      <c r="L246" s="70"/>
    </row>
    <row r="247" spans="1:12" ht="18.75">
      <c r="A247" s="187" t="s">
        <v>1283</v>
      </c>
      <c r="B247" s="73" t="s">
        <v>640</v>
      </c>
      <c r="C247" s="74" t="s">
        <v>1472</v>
      </c>
      <c r="D247" s="69">
        <f>+ROUND('10. Alimentazione CE Costi'!E281,2)</f>
        <v>0</v>
      </c>
      <c r="E247" s="69">
        <f>+ROUND('10. Alimentazione CE Costi'!F281,2)</f>
        <v>0</v>
      </c>
      <c r="F247" s="56"/>
      <c r="G247" s="196"/>
      <c r="H247" s="70"/>
      <c r="J247" s="66"/>
      <c r="L247" s="70"/>
    </row>
    <row r="248" spans="1:12" ht="18.75">
      <c r="A248" s="187"/>
      <c r="B248" s="73" t="s">
        <v>641</v>
      </c>
      <c r="C248" s="74" t="s">
        <v>1473</v>
      </c>
      <c r="D248" s="69">
        <f>+ROUND('10. Alimentazione CE Costi'!E283,2)</f>
        <v>0</v>
      </c>
      <c r="E248" s="69">
        <f>+ROUND('10. Alimentazione CE Costi'!F283,2)</f>
        <v>0</v>
      </c>
      <c r="F248" s="56"/>
      <c r="G248" s="196"/>
      <c r="H248" s="70"/>
      <c r="J248" s="66"/>
      <c r="L248" s="70"/>
    </row>
    <row r="249" spans="1:12" ht="18.75">
      <c r="A249" s="187"/>
      <c r="B249" s="73" t="s">
        <v>642</v>
      </c>
      <c r="C249" s="74" t="s">
        <v>1474</v>
      </c>
      <c r="D249" s="69">
        <f>+ROUND('10. Alimentazione CE Costi'!E285,2)</f>
        <v>0</v>
      </c>
      <c r="E249" s="69">
        <f>+ROUND('10. Alimentazione CE Costi'!F285,2)</f>
        <v>0</v>
      </c>
      <c r="F249" s="56"/>
      <c r="G249" s="196"/>
      <c r="H249" s="70"/>
      <c r="J249" s="66"/>
      <c r="L249" s="70"/>
    </row>
    <row r="250" spans="1:12" ht="25.5">
      <c r="A250" s="187"/>
      <c r="B250" s="73" t="s">
        <v>643</v>
      </c>
      <c r="C250" s="74" t="s">
        <v>1475</v>
      </c>
      <c r="D250" s="69">
        <f>+ROUND('10. Alimentazione CE Costi'!E287,2)</f>
        <v>0</v>
      </c>
      <c r="E250" s="69">
        <f>+ROUND('10. Alimentazione CE Costi'!F287,2)</f>
        <v>0</v>
      </c>
      <c r="F250" s="56"/>
      <c r="G250" s="196"/>
      <c r="H250" s="70"/>
      <c r="J250" s="66"/>
      <c r="L250" s="70"/>
    </row>
    <row r="251" spans="1:12" ht="25.5">
      <c r="A251" s="187"/>
      <c r="B251" s="118" t="s">
        <v>644</v>
      </c>
      <c r="C251" s="119" t="s">
        <v>1476</v>
      </c>
      <c r="D251" s="106">
        <f t="shared" ref="D251" si="70">SUM(D252:D256)</f>
        <v>0</v>
      </c>
      <c r="E251" s="106">
        <f t="shared" ref="E251" si="71">SUM(E252:E256)</f>
        <v>0</v>
      </c>
      <c r="F251" s="56" t="s">
        <v>1820</v>
      </c>
      <c r="G251" s="196"/>
      <c r="H251" s="70"/>
      <c r="J251" s="66"/>
      <c r="L251" s="70"/>
    </row>
    <row r="252" spans="1:12" ht="25.5">
      <c r="A252" s="187" t="s">
        <v>1238</v>
      </c>
      <c r="B252" s="73" t="s">
        <v>645</v>
      </c>
      <c r="C252" s="74" t="s">
        <v>1477</v>
      </c>
      <c r="D252" s="69">
        <f>+ROUND('10. Alimentazione CE Costi'!E290,2)</f>
        <v>0</v>
      </c>
      <c r="E252" s="69">
        <f>+ROUND('10. Alimentazione CE Costi'!F290,2)</f>
        <v>0</v>
      </c>
      <c r="F252" s="56"/>
      <c r="G252" s="196"/>
      <c r="H252" s="70"/>
      <c r="J252" s="66"/>
      <c r="L252" s="70"/>
    </row>
    <row r="253" spans="1:12" ht="25.5">
      <c r="A253" s="187"/>
      <c r="B253" s="73" t="s">
        <v>646</v>
      </c>
      <c r="C253" s="74" t="s">
        <v>1478</v>
      </c>
      <c r="D253" s="69">
        <f>+ROUND('10. Alimentazione CE Costi'!E292,2)</f>
        <v>0</v>
      </c>
      <c r="E253" s="69">
        <f>+ROUND('10. Alimentazione CE Costi'!F292,2)</f>
        <v>0</v>
      </c>
      <c r="F253" s="56"/>
      <c r="G253" s="196"/>
      <c r="H253" s="70"/>
      <c r="J253" s="66"/>
      <c r="L253" s="70"/>
    </row>
    <row r="254" spans="1:12" ht="18.75">
      <c r="A254" s="187" t="s">
        <v>1283</v>
      </c>
      <c r="B254" s="73" t="s">
        <v>647</v>
      </c>
      <c r="C254" s="74" t="s">
        <v>1479</v>
      </c>
      <c r="D254" s="69">
        <f>+ROUND('10. Alimentazione CE Costi'!E294,2)</f>
        <v>0</v>
      </c>
      <c r="E254" s="69">
        <f>+ROUND('10. Alimentazione CE Costi'!F294,2)</f>
        <v>0</v>
      </c>
      <c r="F254" s="56"/>
      <c r="G254" s="196"/>
      <c r="H254" s="70"/>
      <c r="J254" s="66"/>
      <c r="L254" s="70"/>
    </row>
    <row r="255" spans="1:12" ht="18.75">
      <c r="A255" s="187"/>
      <c r="B255" s="73" t="s">
        <v>648</v>
      </c>
      <c r="C255" s="74" t="s">
        <v>1480</v>
      </c>
      <c r="D255" s="69">
        <f>+ROUND('10. Alimentazione CE Costi'!E296,2)</f>
        <v>0</v>
      </c>
      <c r="E255" s="69">
        <f>+ROUND('10. Alimentazione CE Costi'!F296,2)</f>
        <v>0</v>
      </c>
      <c r="F255" s="56"/>
      <c r="G255" s="196"/>
      <c r="H255" s="70"/>
      <c r="J255" s="66"/>
      <c r="L255" s="70"/>
    </row>
    <row r="256" spans="1:12" ht="25.5">
      <c r="A256" s="187"/>
      <c r="B256" s="73" t="s">
        <v>649</v>
      </c>
      <c r="C256" s="74" t="s">
        <v>1481</v>
      </c>
      <c r="D256" s="69">
        <f>+ROUND('10. Alimentazione CE Costi'!E298,2)</f>
        <v>0</v>
      </c>
      <c r="E256" s="69">
        <f>+ROUND('10. Alimentazione CE Costi'!F298,2)</f>
        <v>0</v>
      </c>
      <c r="F256" s="56"/>
      <c r="G256" s="196"/>
      <c r="H256" s="70"/>
      <c r="J256" s="66"/>
      <c r="L256" s="70"/>
    </row>
    <row r="257" spans="1:12" ht="25.5">
      <c r="A257" s="187"/>
      <c r="B257" s="118" t="s">
        <v>650</v>
      </c>
      <c r="C257" s="119" t="s">
        <v>1482</v>
      </c>
      <c r="D257" s="106">
        <f t="shared" ref="D257" si="72">SUM(D258:D261)</f>
        <v>0</v>
      </c>
      <c r="E257" s="106">
        <f t="shared" ref="E257" si="73">SUM(E258:E261)</f>
        <v>0</v>
      </c>
      <c r="F257" s="56" t="s">
        <v>1820</v>
      </c>
      <c r="G257" s="196"/>
      <c r="H257" s="70"/>
      <c r="J257" s="66"/>
      <c r="L257" s="70"/>
    </row>
    <row r="258" spans="1:12" ht="25.5">
      <c r="A258" s="187" t="s">
        <v>1238</v>
      </c>
      <c r="B258" s="73" t="s">
        <v>651</v>
      </c>
      <c r="C258" s="74" t="s">
        <v>1483</v>
      </c>
      <c r="D258" s="69">
        <f>+ROUND('10. Alimentazione CE Costi'!E301,2)</f>
        <v>0</v>
      </c>
      <c r="E258" s="69">
        <f>+ROUND('10. Alimentazione CE Costi'!F301,2)</f>
        <v>0</v>
      </c>
      <c r="F258" s="56"/>
      <c r="G258" s="196"/>
      <c r="H258" s="70"/>
      <c r="J258" s="66"/>
      <c r="L258" s="70"/>
    </row>
    <row r="259" spans="1:12" ht="25.5">
      <c r="A259" s="187"/>
      <c r="B259" s="73" t="s">
        <v>652</v>
      </c>
      <c r="C259" s="74" t="s">
        <v>1484</v>
      </c>
      <c r="D259" s="69">
        <f>+ROUND('10. Alimentazione CE Costi'!E303,2)</f>
        <v>0</v>
      </c>
      <c r="E259" s="69">
        <f>+ROUND('10. Alimentazione CE Costi'!F303,2)</f>
        <v>0</v>
      </c>
      <c r="F259" s="56"/>
      <c r="G259" s="196"/>
      <c r="H259" s="70"/>
      <c r="J259" s="66"/>
      <c r="L259" s="70"/>
    </row>
    <row r="260" spans="1:12" ht="18.75">
      <c r="A260" s="187" t="s">
        <v>1283</v>
      </c>
      <c r="B260" s="73" t="s">
        <v>653</v>
      </c>
      <c r="C260" s="74" t="s">
        <v>1485</v>
      </c>
      <c r="D260" s="69">
        <f>+ROUND('10. Alimentazione CE Costi'!E305,2)</f>
        <v>0</v>
      </c>
      <c r="E260" s="69">
        <f>+ROUND('10. Alimentazione CE Costi'!F305,2)</f>
        <v>0</v>
      </c>
      <c r="F260" s="56"/>
      <c r="G260" s="196"/>
      <c r="H260" s="70"/>
      <c r="J260" s="66"/>
      <c r="L260" s="70"/>
    </row>
    <row r="261" spans="1:12" ht="18.75">
      <c r="A261" s="187"/>
      <c r="B261" s="73" t="s">
        <v>654</v>
      </c>
      <c r="C261" s="74" t="s">
        <v>1486</v>
      </c>
      <c r="D261" s="69">
        <f>+ROUND('10. Alimentazione CE Costi'!E307+'10. Alimentazione CE Costi'!E308+'10. Alimentazione CE Costi'!E309+'10. Alimentazione CE Costi'!E310,2)</f>
        <v>0</v>
      </c>
      <c r="E261" s="69">
        <f>+ROUND('10. Alimentazione CE Costi'!F307+'10. Alimentazione CE Costi'!F308+'10. Alimentazione CE Costi'!F309+'10. Alimentazione CE Costi'!F310,2)</f>
        <v>0</v>
      </c>
      <c r="F261" s="56"/>
      <c r="G261" s="196"/>
      <c r="H261" s="70"/>
      <c r="J261" s="66"/>
      <c r="L261" s="70"/>
    </row>
    <row r="262" spans="1:12" ht="25.5">
      <c r="A262" s="187"/>
      <c r="B262" s="118" t="s">
        <v>659</v>
      </c>
      <c r="C262" s="119" t="s">
        <v>1487</v>
      </c>
      <c r="D262" s="106">
        <f t="shared" ref="D262" si="74">+D263+D266+D268+D269+D270+D267</f>
        <v>0</v>
      </c>
      <c r="E262" s="106">
        <f t="shared" ref="E262" si="75">+E263+E266+E268+E269+E270+E267</f>
        <v>0</v>
      </c>
      <c r="F262" s="56" t="s">
        <v>1820</v>
      </c>
      <c r="G262" s="196"/>
      <c r="H262" s="70"/>
      <c r="J262" s="66"/>
      <c r="L262" s="70"/>
    </row>
    <row r="263" spans="1:12" ht="25.5">
      <c r="A263" s="187" t="s">
        <v>1238</v>
      </c>
      <c r="B263" s="110" t="s">
        <v>660</v>
      </c>
      <c r="C263" s="111" t="s">
        <v>1488</v>
      </c>
      <c r="D263" s="109">
        <f t="shared" ref="D263" si="76">+D264+D265</f>
        <v>0</v>
      </c>
      <c r="E263" s="109">
        <f t="shared" ref="E263" si="77">+E264+E265</f>
        <v>0</v>
      </c>
      <c r="F263" s="56" t="s">
        <v>1820</v>
      </c>
      <c r="G263" s="196"/>
      <c r="H263" s="70"/>
      <c r="J263" s="66"/>
      <c r="L263" s="70"/>
    </row>
    <row r="264" spans="1:12" ht="18.75">
      <c r="A264" s="189" t="s">
        <v>1238</v>
      </c>
      <c r="B264" s="75" t="s">
        <v>662</v>
      </c>
      <c r="C264" s="76" t="s">
        <v>1489</v>
      </c>
      <c r="D264" s="69">
        <f>+ROUND('10. Alimentazione CE Costi'!E314,2)</f>
        <v>0</v>
      </c>
      <c r="E264" s="69">
        <f>+ROUND('10. Alimentazione CE Costi'!F314,2)</f>
        <v>0</v>
      </c>
      <c r="F264" s="290"/>
      <c r="G264" s="196"/>
      <c r="H264" s="70"/>
      <c r="J264" s="66"/>
      <c r="L264" s="70"/>
    </row>
    <row r="265" spans="1:12" ht="25.5">
      <c r="A265" s="189" t="s">
        <v>1238</v>
      </c>
      <c r="B265" s="75" t="s">
        <v>663</v>
      </c>
      <c r="C265" s="76" t="s">
        <v>1490</v>
      </c>
      <c r="D265" s="69">
        <f>+ROUND('10. Alimentazione CE Costi'!E316,2)</f>
        <v>0</v>
      </c>
      <c r="E265" s="69">
        <f>+ROUND('10. Alimentazione CE Costi'!F316,2)</f>
        <v>0</v>
      </c>
      <c r="F265" s="290"/>
      <c r="G265" s="196"/>
      <c r="H265" s="70"/>
      <c r="J265" s="66"/>
      <c r="L265" s="70"/>
    </row>
    <row r="266" spans="1:12" ht="25.5">
      <c r="A266" s="187"/>
      <c r="B266" s="73" t="s">
        <v>664</v>
      </c>
      <c r="C266" s="74" t="s">
        <v>1491</v>
      </c>
      <c r="D266" s="69">
        <f>+ROUND('10. Alimentazione CE Costi'!E318+'10. Alimentazione CE Costi'!E319+'10. Alimentazione CE Costi'!E320+'10. Alimentazione CE Costi'!E321,2)</f>
        <v>0</v>
      </c>
      <c r="E266" s="69">
        <f>+ROUND('10. Alimentazione CE Costi'!F318+'10. Alimentazione CE Costi'!F319+'10. Alimentazione CE Costi'!F320+'10. Alimentazione CE Costi'!F321,2)</f>
        <v>0</v>
      </c>
      <c r="F266" s="56"/>
      <c r="G266" s="196"/>
      <c r="H266" s="70"/>
      <c r="J266" s="66"/>
      <c r="L266" s="70"/>
    </row>
    <row r="267" spans="1:12" ht="38.25">
      <c r="A267" s="187" t="s">
        <v>1283</v>
      </c>
      <c r="B267" s="73" t="s">
        <v>669</v>
      </c>
      <c r="C267" s="74" t="s">
        <v>1492</v>
      </c>
      <c r="D267" s="69">
        <f>+ROUND('10. Alimentazione CE Costi'!E323,2)</f>
        <v>0</v>
      </c>
      <c r="E267" s="69">
        <f>+ROUND('10. Alimentazione CE Costi'!F323,2)</f>
        <v>0</v>
      </c>
      <c r="F267" s="56"/>
      <c r="G267" s="196"/>
      <c r="H267" s="70"/>
      <c r="J267" s="66"/>
      <c r="L267" s="70"/>
    </row>
    <row r="268" spans="1:12" ht="25.5">
      <c r="A268" s="187" t="s">
        <v>1287</v>
      </c>
      <c r="B268" s="73" t="s">
        <v>670</v>
      </c>
      <c r="C268" s="74" t="s">
        <v>1493</v>
      </c>
      <c r="D268" s="69">
        <f>+ROUND('10. Alimentazione CE Costi'!E325+'10. Alimentazione CE Costi'!E326+'10. Alimentazione CE Costi'!E327,2)</f>
        <v>0</v>
      </c>
      <c r="E268" s="69">
        <f>+ROUND('10. Alimentazione CE Costi'!F325+'10. Alimentazione CE Costi'!F326+'10. Alimentazione CE Costi'!F327,2)</f>
        <v>0</v>
      </c>
      <c r="F268" s="56"/>
      <c r="G268" s="196"/>
      <c r="H268" s="70"/>
      <c r="J268" s="66"/>
      <c r="L268" s="70"/>
    </row>
    <row r="269" spans="1:12" ht="18.75">
      <c r="A269" s="187"/>
      <c r="B269" s="73" t="s">
        <v>671</v>
      </c>
      <c r="C269" s="74" t="s">
        <v>1494</v>
      </c>
      <c r="D269" s="69">
        <f>+ROUND('10. Alimentazione CE Costi'!E329+'10. Alimentazione CE Costi'!E330+'10. Alimentazione CE Costi'!E331+'10. Alimentazione CE Costi'!E332+'10. Alimentazione CE Costi'!E333+'10. Alimentazione CE Costi'!E334+'10. Alimentazione CE Costi'!E335+'10. Alimentazione CE Costi'!E336,2)</f>
        <v>0</v>
      </c>
      <c r="E269" s="69">
        <f>+ROUND('10. Alimentazione CE Costi'!F329+'10. Alimentazione CE Costi'!F330+'10. Alimentazione CE Costi'!F331+'10. Alimentazione CE Costi'!F332+'10. Alimentazione CE Costi'!F333+'10. Alimentazione CE Costi'!F334+'10. Alimentazione CE Costi'!F335+'10. Alimentazione CE Costi'!F336,2)</f>
        <v>0</v>
      </c>
      <c r="F269" s="56"/>
      <c r="G269" s="196"/>
      <c r="H269" s="70"/>
      <c r="J269" s="66"/>
      <c r="L269" s="70"/>
    </row>
    <row r="270" spans="1:12" ht="18.75">
      <c r="A270" s="187"/>
      <c r="B270" s="73" t="s">
        <v>676</v>
      </c>
      <c r="C270" s="74" t="s">
        <v>1495</v>
      </c>
      <c r="D270" s="69">
        <f>+ROUND('10. Alimentazione CE Costi'!E338+'10. Alimentazione CE Costi'!E339,2)</f>
        <v>0</v>
      </c>
      <c r="E270" s="69">
        <f>+ROUND('10. Alimentazione CE Costi'!F338+'10. Alimentazione CE Costi'!F339,2)</f>
        <v>0</v>
      </c>
      <c r="F270" s="56"/>
      <c r="G270" s="196"/>
      <c r="H270" s="70"/>
      <c r="J270" s="66"/>
      <c r="L270" s="70"/>
    </row>
    <row r="271" spans="1:12" ht="25.5">
      <c r="A271" s="187"/>
      <c r="B271" s="118" t="s">
        <v>678</v>
      </c>
      <c r="C271" s="119" t="s">
        <v>1496</v>
      </c>
      <c r="D271" s="106">
        <f t="shared" ref="D271" si="78">SUM(D272:D278)</f>
        <v>4399.26</v>
      </c>
      <c r="E271" s="106">
        <f t="shared" ref="E271" si="79">SUM(E272:E278)</f>
        <v>7778.45</v>
      </c>
      <c r="F271" s="56" t="s">
        <v>1820</v>
      </c>
      <c r="G271" s="196"/>
      <c r="H271" s="70"/>
      <c r="J271" s="66"/>
      <c r="L271" s="70"/>
    </row>
    <row r="272" spans="1:12" ht="25.5">
      <c r="A272" s="187"/>
      <c r="B272" s="73" t="s">
        <v>680</v>
      </c>
      <c r="C272" s="74" t="s">
        <v>1497</v>
      </c>
      <c r="D272" s="69">
        <f>+ROUND('10. Alimentazione CE Costi'!E342,2)</f>
        <v>0</v>
      </c>
      <c r="E272" s="69">
        <f>+ROUND('10. Alimentazione CE Costi'!F342,2)</f>
        <v>0</v>
      </c>
      <c r="F272" s="56"/>
      <c r="G272" s="196"/>
      <c r="H272" s="70"/>
      <c r="J272" s="66"/>
      <c r="L272" s="70"/>
    </row>
    <row r="273" spans="1:12" ht="25.5">
      <c r="A273" s="187"/>
      <c r="B273" s="73" t="s">
        <v>682</v>
      </c>
      <c r="C273" s="74" t="s">
        <v>1498</v>
      </c>
      <c r="D273" s="69">
        <f>+ROUND('10. Alimentazione CE Costi'!E344,2)</f>
        <v>0</v>
      </c>
      <c r="E273" s="69">
        <f>+ROUND('10. Alimentazione CE Costi'!F344,2)</f>
        <v>0</v>
      </c>
      <c r="F273" s="56"/>
      <c r="G273" s="196"/>
      <c r="H273" s="70"/>
      <c r="J273" s="66"/>
      <c r="L273" s="70"/>
    </row>
    <row r="274" spans="1:12" ht="25.5">
      <c r="A274" s="187"/>
      <c r="B274" s="73" t="s">
        <v>684</v>
      </c>
      <c r="C274" s="74" t="s">
        <v>1499</v>
      </c>
      <c r="D274" s="69">
        <f>+ROUND('10. Alimentazione CE Costi'!E346,2)</f>
        <v>0</v>
      </c>
      <c r="E274" s="69">
        <f>+ROUND('10. Alimentazione CE Costi'!F346,2)</f>
        <v>0</v>
      </c>
      <c r="F274" s="56"/>
      <c r="G274" s="196"/>
      <c r="H274" s="70"/>
      <c r="J274" s="66"/>
      <c r="L274" s="70"/>
    </row>
    <row r="275" spans="1:12" ht="38.25">
      <c r="A275" s="187"/>
      <c r="B275" s="73" t="s">
        <v>685</v>
      </c>
      <c r="C275" s="74" t="s">
        <v>1500</v>
      </c>
      <c r="D275" s="69">
        <f>+ROUND('10. Alimentazione CE Costi'!E348+'10. Alimentazione CE Costi'!E349+'10. Alimentazione CE Costi'!E350+'10. Alimentazione CE Costi'!E351,2)</f>
        <v>0</v>
      </c>
      <c r="E275" s="69">
        <f>+ROUND('10. Alimentazione CE Costi'!F348+'10. Alimentazione CE Costi'!F349+'10. Alimentazione CE Costi'!F350+'10. Alimentazione CE Costi'!F351,2)</f>
        <v>0</v>
      </c>
      <c r="F275" s="56"/>
      <c r="G275" s="196"/>
      <c r="H275" s="70"/>
      <c r="J275" s="66"/>
      <c r="L275" s="70"/>
    </row>
    <row r="276" spans="1:12" ht="51">
      <c r="A276" s="187" t="s">
        <v>1238</v>
      </c>
      <c r="B276" s="73" t="s">
        <v>689</v>
      </c>
      <c r="C276" s="74" t="s">
        <v>1501</v>
      </c>
      <c r="D276" s="69">
        <f>+ROUND('10. Alimentazione CE Costi'!E353+'10. Alimentazione CE Costi'!E354+'10. Alimentazione CE Costi'!E355+'10. Alimentazione CE Costi'!E356,2)</f>
        <v>0</v>
      </c>
      <c r="E276" s="69">
        <f>+ROUND('10. Alimentazione CE Costi'!F353+'10. Alimentazione CE Costi'!F354+'10. Alimentazione CE Costi'!F355+'10. Alimentazione CE Costi'!F356,2)</f>
        <v>0</v>
      </c>
      <c r="F276" s="56"/>
      <c r="G276" s="196"/>
      <c r="H276" s="70"/>
      <c r="J276" s="66"/>
      <c r="L276" s="70"/>
    </row>
    <row r="277" spans="1:12" ht="25.5">
      <c r="A277" s="187"/>
      <c r="B277" s="73" t="s">
        <v>690</v>
      </c>
      <c r="C277" s="74" t="s">
        <v>1502</v>
      </c>
      <c r="D277" s="69">
        <f>+ROUND(SUM('10. Alimentazione CE Costi'!E358:E368),2)</f>
        <v>4399.26</v>
      </c>
      <c r="E277" s="69">
        <f>+ROUND(SUM('10. Alimentazione CE Costi'!F358:F368),2)</f>
        <v>7778.45</v>
      </c>
      <c r="F277" s="56"/>
      <c r="G277" s="196"/>
      <c r="H277" s="70"/>
      <c r="J277" s="66"/>
      <c r="L277" s="70"/>
    </row>
    <row r="278" spans="1:12" ht="38.25">
      <c r="A278" s="187" t="s">
        <v>1238</v>
      </c>
      <c r="B278" s="73" t="s">
        <v>697</v>
      </c>
      <c r="C278" s="74" t="s">
        <v>1503</v>
      </c>
      <c r="D278" s="69">
        <f>+ROUND(SUM('10. Alimentazione CE Costi'!E370:E378),2)</f>
        <v>0</v>
      </c>
      <c r="E278" s="69">
        <f>+ROUND(SUM('10. Alimentazione CE Costi'!F370:F378),2)</f>
        <v>0</v>
      </c>
      <c r="F278" s="56"/>
      <c r="G278" s="196"/>
      <c r="H278" s="70"/>
      <c r="J278" s="66"/>
      <c r="L278" s="70"/>
    </row>
    <row r="279" spans="1:12" ht="18.75">
      <c r="A279" s="187"/>
      <c r="B279" s="118" t="s">
        <v>698</v>
      </c>
      <c r="C279" s="119" t="s">
        <v>1504</v>
      </c>
      <c r="D279" s="106">
        <f t="shared" ref="D279" si="80">SUM(D280:D286)</f>
        <v>5081023.0600000005</v>
      </c>
      <c r="E279" s="106">
        <f t="shared" ref="E279" si="81">SUM(E280:E286)</f>
        <v>2865830.7800000003</v>
      </c>
      <c r="F279" s="56" t="s">
        <v>1820</v>
      </c>
      <c r="G279" s="196"/>
      <c r="H279" s="70"/>
      <c r="J279" s="66"/>
      <c r="L279" s="70"/>
    </row>
    <row r="280" spans="1:12" ht="18.75">
      <c r="A280" s="187"/>
      <c r="B280" s="73" t="s">
        <v>700</v>
      </c>
      <c r="C280" s="74" t="s">
        <v>1505</v>
      </c>
      <c r="D280" s="69">
        <f>+ROUND('10. Alimentazione CE Costi'!E381,2)</f>
        <v>2275663.12</v>
      </c>
      <c r="E280" s="69">
        <f>+ROUND('10. Alimentazione CE Costi'!F381,2)</f>
        <v>2224023.29</v>
      </c>
      <c r="F280" s="56"/>
      <c r="G280" s="196"/>
      <c r="H280" s="70"/>
      <c r="J280" s="66"/>
      <c r="L280" s="70"/>
    </row>
    <row r="281" spans="1:12" ht="18.75">
      <c r="A281" s="187"/>
      <c r="B281" s="73" t="s">
        <v>702</v>
      </c>
      <c r="C281" s="74" t="s">
        <v>1506</v>
      </c>
      <c r="D281" s="69">
        <f>+ROUND('10. Alimentazione CE Costi'!E383,2)</f>
        <v>0</v>
      </c>
      <c r="E281" s="69">
        <f>+ROUND('10. Alimentazione CE Costi'!F383,2)</f>
        <v>0</v>
      </c>
      <c r="F281" s="56"/>
      <c r="G281" s="196"/>
      <c r="H281" s="70"/>
      <c r="J281" s="66"/>
      <c r="L281" s="70"/>
    </row>
    <row r="282" spans="1:12" ht="25.5">
      <c r="A282" s="187"/>
      <c r="B282" s="73" t="s">
        <v>704</v>
      </c>
      <c r="C282" s="74" t="s">
        <v>1507</v>
      </c>
      <c r="D282" s="69">
        <f>+ROUND('10. Alimentazione CE Costi'!E385,2)</f>
        <v>0</v>
      </c>
      <c r="E282" s="69">
        <f>+ROUND('10. Alimentazione CE Costi'!F385,2)</f>
        <v>0</v>
      </c>
      <c r="F282" s="56"/>
      <c r="G282" s="196"/>
      <c r="H282" s="70"/>
      <c r="J282" s="66"/>
      <c r="L282" s="70"/>
    </row>
    <row r="283" spans="1:12" ht="18.75">
      <c r="A283" s="187"/>
      <c r="B283" s="73" t="s">
        <v>706</v>
      </c>
      <c r="C283" s="74" t="s">
        <v>1508</v>
      </c>
      <c r="D283" s="69">
        <f>+ROUND('10. Alimentazione CE Costi'!E387,2)</f>
        <v>0</v>
      </c>
      <c r="E283" s="69">
        <f>+ROUND('10. Alimentazione CE Costi'!F387,2)</f>
        <v>0</v>
      </c>
      <c r="F283" s="56"/>
      <c r="G283" s="196"/>
      <c r="H283" s="70"/>
      <c r="J283" s="66"/>
      <c r="L283" s="70"/>
    </row>
    <row r="284" spans="1:12" ht="18.75">
      <c r="A284" s="187"/>
      <c r="B284" s="73" t="s">
        <v>708</v>
      </c>
      <c r="C284" s="74" t="s">
        <v>1509</v>
      </c>
      <c r="D284" s="69">
        <f>+ROUND(SUM('10. Alimentazione CE Costi'!E389:E398),2)</f>
        <v>130011.4</v>
      </c>
      <c r="E284" s="69">
        <f>+ROUND(SUM('10. Alimentazione CE Costi'!F389:F398),2)</f>
        <v>61616.73</v>
      </c>
      <c r="F284" s="56"/>
      <c r="G284" s="196"/>
      <c r="H284" s="70"/>
      <c r="J284" s="66"/>
      <c r="L284" s="70"/>
    </row>
    <row r="285" spans="1:12" ht="25.5">
      <c r="A285" s="187" t="s">
        <v>1238</v>
      </c>
      <c r="B285" s="73" t="s">
        <v>718</v>
      </c>
      <c r="C285" s="74" t="s">
        <v>1510</v>
      </c>
      <c r="D285" s="69">
        <f>+ROUND('10. Alimentazione CE Costi'!E400+'10. Alimentazione CE Costi'!E401,2)</f>
        <v>2675348.54</v>
      </c>
      <c r="E285" s="69">
        <f>+ROUND('10. Alimentazione CE Costi'!F400+'10. Alimentazione CE Costi'!F401,2)</f>
        <v>580190.76</v>
      </c>
      <c r="F285" s="56"/>
      <c r="G285" s="196"/>
      <c r="H285" s="70"/>
      <c r="J285" s="66"/>
      <c r="L285" s="70"/>
    </row>
    <row r="286" spans="1:12" ht="18.75">
      <c r="A286" s="187" t="s">
        <v>1238</v>
      </c>
      <c r="B286" s="73" t="s">
        <v>722</v>
      </c>
      <c r="C286" s="74" t="s">
        <v>1511</v>
      </c>
      <c r="D286" s="69">
        <f>+ROUND('10. Alimentazione CE Costi'!E403,2)</f>
        <v>0</v>
      </c>
      <c r="E286" s="69">
        <f>+ROUND('10. Alimentazione CE Costi'!F403,2)</f>
        <v>0</v>
      </c>
      <c r="F286" s="56"/>
      <c r="G286" s="196"/>
      <c r="H286" s="80"/>
      <c r="J286" s="66"/>
      <c r="L286" s="70"/>
    </row>
    <row r="287" spans="1:12" ht="25.5">
      <c r="A287" s="187"/>
      <c r="B287" s="118" t="s">
        <v>723</v>
      </c>
      <c r="C287" s="119" t="s">
        <v>1512</v>
      </c>
      <c r="D287" s="106">
        <f t="shared" ref="D287" si="82">SUM(D288:D290,D297)</f>
        <v>2066765.1900000002</v>
      </c>
      <c r="E287" s="106">
        <f t="shared" ref="E287" si="83">SUM(E288:E290,E297)</f>
        <v>1811952.65</v>
      </c>
      <c r="F287" s="56" t="s">
        <v>1820</v>
      </c>
      <c r="G287" s="196"/>
      <c r="H287" s="70"/>
      <c r="J287" s="66"/>
      <c r="L287" s="70"/>
    </row>
    <row r="288" spans="1:12" ht="25.5">
      <c r="A288" s="189" t="s">
        <v>1238</v>
      </c>
      <c r="B288" s="73" t="s">
        <v>725</v>
      </c>
      <c r="C288" s="74" t="s">
        <v>1513</v>
      </c>
      <c r="D288" s="69">
        <f>+ROUND('10. Alimentazione CE Costi'!E406,2)</f>
        <v>49195.58</v>
      </c>
      <c r="E288" s="69">
        <f>+ROUND('10. Alimentazione CE Costi'!F406,2)</f>
        <v>1438.77</v>
      </c>
      <c r="F288" s="290"/>
      <c r="G288" s="196"/>
      <c r="H288" s="70"/>
      <c r="J288" s="66"/>
      <c r="L288" s="70"/>
    </row>
    <row r="289" spans="1:12" ht="25.5">
      <c r="A289" s="189"/>
      <c r="B289" s="73" t="s">
        <v>727</v>
      </c>
      <c r="C289" s="74" t="s">
        <v>1514</v>
      </c>
      <c r="D289" s="69">
        <f>+ROUND('10. Alimentazione CE Costi'!E408,2)</f>
        <v>0</v>
      </c>
      <c r="E289" s="69">
        <f>+ROUND('10. Alimentazione CE Costi'!F408,2)</f>
        <v>0</v>
      </c>
      <c r="F289" s="290"/>
      <c r="G289" s="196"/>
      <c r="H289" s="70"/>
      <c r="J289" s="66"/>
      <c r="L289" s="70"/>
    </row>
    <row r="290" spans="1:12" ht="25.5">
      <c r="A290" s="189"/>
      <c r="B290" s="110" t="s">
        <v>728</v>
      </c>
      <c r="C290" s="111" t="s">
        <v>1515</v>
      </c>
      <c r="D290" s="109">
        <f t="shared" ref="D290" si="84">SUM(D291:D296)</f>
        <v>1885616.8</v>
      </c>
      <c r="E290" s="109">
        <f t="shared" ref="E290" si="85">SUM(E291:E296)</f>
        <v>1678070.9</v>
      </c>
      <c r="F290" s="56" t="s">
        <v>1820</v>
      </c>
      <c r="G290" s="196"/>
      <c r="H290" s="70"/>
      <c r="J290" s="66"/>
      <c r="L290" s="70"/>
    </row>
    <row r="291" spans="1:12" ht="25.5">
      <c r="A291" s="189"/>
      <c r="B291" s="75" t="s">
        <v>730</v>
      </c>
      <c r="C291" s="76" t="s">
        <v>1516</v>
      </c>
      <c r="D291" s="69">
        <f>+ROUND('10. Alimentazione CE Costi'!E411,2)</f>
        <v>0</v>
      </c>
      <c r="E291" s="69">
        <f>+ROUND('10. Alimentazione CE Costi'!F411,2)</f>
        <v>0</v>
      </c>
      <c r="F291" s="290"/>
      <c r="G291" s="196"/>
      <c r="H291" s="70"/>
      <c r="J291" s="66"/>
      <c r="L291" s="70"/>
    </row>
    <row r="292" spans="1:12" ht="25.5">
      <c r="A292" s="189"/>
      <c r="B292" s="75" t="s">
        <v>731</v>
      </c>
      <c r="C292" s="76" t="s">
        <v>1517</v>
      </c>
      <c r="D292" s="69">
        <f>+ROUND('10. Alimentazione CE Costi'!E413+'10. Alimentazione CE Costi'!E415+'10. Alimentazione CE Costi'!E414,2)</f>
        <v>170832.5</v>
      </c>
      <c r="E292" s="69">
        <f>+ROUND('10. Alimentazione CE Costi'!F413+'10. Alimentazione CE Costi'!F415+'10. Alimentazione CE Costi'!F414,2)</f>
        <v>121432.5</v>
      </c>
      <c r="F292" s="290"/>
      <c r="G292" s="196"/>
      <c r="H292" s="70"/>
      <c r="J292" s="66"/>
      <c r="L292" s="70"/>
    </row>
    <row r="293" spans="1:12" ht="25.5">
      <c r="A293" s="189"/>
      <c r="B293" s="75" t="s">
        <v>735</v>
      </c>
      <c r="C293" s="76" t="s">
        <v>1518</v>
      </c>
      <c r="D293" s="69">
        <f>+ROUND('10. Alimentazione CE Costi'!E417+'10. Alimentazione CE Costi'!E418+'10. Alimentazione CE Costi'!E419+'10. Alimentazione CE Costi'!E420,2)</f>
        <v>0</v>
      </c>
      <c r="E293" s="69">
        <f>+ROUND('10. Alimentazione CE Costi'!F417+'10. Alimentazione CE Costi'!F418+'10. Alimentazione CE Costi'!F419+'10. Alimentazione CE Costi'!F420,2)</f>
        <v>0</v>
      </c>
      <c r="F293" s="290"/>
      <c r="G293" s="196"/>
      <c r="H293" s="70"/>
      <c r="J293" s="66"/>
      <c r="L293" s="70"/>
    </row>
    <row r="294" spans="1:12" ht="25.5">
      <c r="A294" s="189"/>
      <c r="B294" s="75" t="s">
        <v>740</v>
      </c>
      <c r="C294" s="76" t="s">
        <v>1519</v>
      </c>
      <c r="D294" s="69">
        <f>+ROUND(SUM('10. Alimentazione CE Costi'!E422:E427),2)</f>
        <v>0</v>
      </c>
      <c r="E294" s="69">
        <f>+ROUND(SUM('10. Alimentazione CE Costi'!F422:F427),2)</f>
        <v>0</v>
      </c>
      <c r="F294" s="290"/>
      <c r="G294" s="196"/>
      <c r="H294" s="70"/>
      <c r="J294" s="66"/>
      <c r="L294" s="70"/>
    </row>
    <row r="295" spans="1:12" ht="18.75">
      <c r="A295" s="189"/>
      <c r="B295" s="75" t="s">
        <v>741</v>
      </c>
      <c r="C295" s="76" t="s">
        <v>1520</v>
      </c>
      <c r="D295" s="69">
        <f>+ROUND('10. Alimentazione CE Costi'!E429,2)</f>
        <v>0</v>
      </c>
      <c r="E295" s="69">
        <f>+ROUND('10. Alimentazione CE Costi'!F429,2)</f>
        <v>0</v>
      </c>
      <c r="F295" s="290"/>
      <c r="G295" s="196"/>
      <c r="H295" s="70"/>
      <c r="J295" s="66"/>
      <c r="L295" s="70"/>
    </row>
    <row r="296" spans="1:12" ht="25.5">
      <c r="A296" s="189"/>
      <c r="B296" s="75" t="s">
        <v>742</v>
      </c>
      <c r="C296" s="76" t="s">
        <v>1521</v>
      </c>
      <c r="D296" s="69">
        <f>+ROUND(SUM('10. Alimentazione CE Costi'!E431:E439),2)</f>
        <v>1714784.3</v>
      </c>
      <c r="E296" s="69">
        <f>+ROUND(SUM('10. Alimentazione CE Costi'!F431:F439),2)</f>
        <v>1556638.4</v>
      </c>
      <c r="F296" s="290"/>
      <c r="G296" s="196"/>
      <c r="H296" s="70"/>
      <c r="J296" s="66"/>
      <c r="L296" s="70"/>
    </row>
    <row r="297" spans="1:12" ht="25.5">
      <c r="A297" s="189"/>
      <c r="B297" s="110" t="s">
        <v>751</v>
      </c>
      <c r="C297" s="111" t="s">
        <v>1522</v>
      </c>
      <c r="D297" s="109">
        <f t="shared" ref="D297" si="86">SUM(D298:D300)</f>
        <v>131952.81</v>
      </c>
      <c r="E297" s="109">
        <f t="shared" ref="E297" si="87">SUM(E298:E300)</f>
        <v>132442.98000000001</v>
      </c>
      <c r="F297" s="56" t="s">
        <v>1820</v>
      </c>
      <c r="G297" s="196"/>
      <c r="H297" s="70"/>
      <c r="J297" s="66"/>
      <c r="L297" s="70"/>
    </row>
    <row r="298" spans="1:12" ht="25.5">
      <c r="A298" s="189" t="s">
        <v>1238</v>
      </c>
      <c r="B298" s="75" t="s">
        <v>753</v>
      </c>
      <c r="C298" s="76" t="s">
        <v>1523</v>
      </c>
      <c r="D298" s="69">
        <f>+ROUND('10. Alimentazione CE Costi'!E442,2)</f>
        <v>131952.81</v>
      </c>
      <c r="E298" s="69">
        <f>+ROUND('10. Alimentazione CE Costi'!F442,2)</f>
        <v>132442.98000000001</v>
      </c>
      <c r="F298" s="290"/>
      <c r="G298" s="196"/>
      <c r="H298" s="70"/>
      <c r="J298" s="66"/>
      <c r="L298" s="70"/>
    </row>
    <row r="299" spans="1:12" ht="25.5">
      <c r="A299" s="189"/>
      <c r="B299" s="75" t="s">
        <v>755</v>
      </c>
      <c r="C299" s="76" t="s">
        <v>1524</v>
      </c>
      <c r="D299" s="69">
        <f>+ROUND('10. Alimentazione CE Costi'!E444,2)</f>
        <v>0</v>
      </c>
      <c r="E299" s="69">
        <f>+ROUND('10. Alimentazione CE Costi'!F444,2)</f>
        <v>0</v>
      </c>
      <c r="F299" s="290"/>
      <c r="G299" s="196"/>
      <c r="H299" s="70"/>
      <c r="J299" s="66"/>
      <c r="L299" s="70"/>
    </row>
    <row r="300" spans="1:12" ht="25.5">
      <c r="A300" s="189" t="s">
        <v>1287</v>
      </c>
      <c r="B300" s="75" t="s">
        <v>757</v>
      </c>
      <c r="C300" s="76" t="s">
        <v>1525</v>
      </c>
      <c r="D300" s="69">
        <f>+ROUND('10. Alimentazione CE Costi'!E446,2)</f>
        <v>0</v>
      </c>
      <c r="E300" s="69">
        <f>+ROUND('10. Alimentazione CE Costi'!F446,2)</f>
        <v>0</v>
      </c>
      <c r="F300" s="290"/>
      <c r="G300" s="196"/>
      <c r="H300" s="70"/>
      <c r="J300" s="66"/>
      <c r="L300" s="70"/>
    </row>
    <row r="301" spans="1:12" ht="25.5">
      <c r="A301" s="189"/>
      <c r="B301" s="118" t="s">
        <v>758</v>
      </c>
      <c r="C301" s="119" t="s">
        <v>1526</v>
      </c>
      <c r="D301" s="106">
        <f t="shared" ref="D301" si="88">SUM(D302:D308)</f>
        <v>2262641.04</v>
      </c>
      <c r="E301" s="106">
        <f t="shared" ref="E301" si="89">SUM(E302:E308)</f>
        <v>2281645.7000000002</v>
      </c>
      <c r="F301" s="56" t="s">
        <v>1820</v>
      </c>
      <c r="G301" s="196"/>
      <c r="H301" s="70"/>
      <c r="J301" s="66"/>
      <c r="L301" s="70"/>
    </row>
    <row r="302" spans="1:12" ht="38.25">
      <c r="A302" s="189" t="s">
        <v>1238</v>
      </c>
      <c r="B302" s="73" t="s">
        <v>760</v>
      </c>
      <c r="C302" s="74" t="s">
        <v>1527</v>
      </c>
      <c r="D302" s="69">
        <f>+ROUND('10. Alimentazione CE Costi'!E449,2)</f>
        <v>0</v>
      </c>
      <c r="E302" s="69">
        <f>+ROUND('10. Alimentazione CE Costi'!F449,2)</f>
        <v>0</v>
      </c>
      <c r="F302" s="290"/>
      <c r="G302" s="196"/>
      <c r="H302" s="70"/>
      <c r="J302" s="66"/>
      <c r="L302" s="70"/>
    </row>
    <row r="303" spans="1:12" ht="25.5">
      <c r="A303" s="189"/>
      <c r="B303" s="73" t="s">
        <v>762</v>
      </c>
      <c r="C303" s="74" t="s">
        <v>1528</v>
      </c>
      <c r="D303" s="69">
        <f>+ROUND('10. Alimentazione CE Costi'!E451,2)</f>
        <v>0</v>
      </c>
      <c r="E303" s="69">
        <f>+ROUND('10. Alimentazione CE Costi'!F451,2)</f>
        <v>0</v>
      </c>
      <c r="F303" s="290"/>
      <c r="G303" s="196"/>
      <c r="H303" s="70"/>
      <c r="J303" s="66"/>
      <c r="L303" s="70"/>
    </row>
    <row r="304" spans="1:12" ht="25.5">
      <c r="A304" s="189" t="s">
        <v>1287</v>
      </c>
      <c r="B304" s="73" t="s">
        <v>764</v>
      </c>
      <c r="C304" s="74" t="s">
        <v>1529</v>
      </c>
      <c r="D304" s="69">
        <f>+ROUND('10. Alimentazione CE Costi'!E453,2)</f>
        <v>0</v>
      </c>
      <c r="E304" s="69">
        <f>+ROUND('10. Alimentazione CE Costi'!F453,2)</f>
        <v>0</v>
      </c>
      <c r="F304" s="290"/>
      <c r="G304" s="196"/>
      <c r="H304" s="70"/>
      <c r="J304" s="66"/>
      <c r="L304" s="70"/>
    </row>
    <row r="305" spans="1:12" ht="18.75">
      <c r="A305" s="189"/>
      <c r="B305" s="73" t="s">
        <v>766</v>
      </c>
      <c r="C305" s="74" t="s">
        <v>1530</v>
      </c>
      <c r="D305" s="69">
        <f>+ROUND('10. Alimentazione CE Costi'!E455+'10. Alimentazione CE Costi'!E456+'10. Alimentazione CE Costi'!E458+'10. Alimentazione CE Costi'!E457,2)</f>
        <v>2262641.04</v>
      </c>
      <c r="E305" s="69">
        <f>+ROUND('10. Alimentazione CE Costi'!F455+'10. Alimentazione CE Costi'!F456+'10. Alimentazione CE Costi'!F458+'10. Alimentazione CE Costi'!F457,2)</f>
        <v>2281645.7000000002</v>
      </c>
      <c r="F305" s="290"/>
      <c r="G305" s="196"/>
      <c r="H305" s="70"/>
      <c r="J305" s="66"/>
      <c r="L305" s="70"/>
    </row>
    <row r="306" spans="1:12" ht="25.5">
      <c r="A306" s="187"/>
      <c r="B306" s="73" t="s">
        <v>769</v>
      </c>
      <c r="C306" s="74" t="s">
        <v>1531</v>
      </c>
      <c r="D306" s="69">
        <f>+ROUND('10. Alimentazione CE Costi'!E460,2)</f>
        <v>0</v>
      </c>
      <c r="E306" s="69">
        <f>+ROUND('10. Alimentazione CE Costi'!F460,2)</f>
        <v>0</v>
      </c>
      <c r="F306" s="56"/>
      <c r="G306" s="196"/>
      <c r="H306" s="70"/>
      <c r="J306" s="66"/>
      <c r="L306" s="70"/>
    </row>
    <row r="307" spans="1:12" ht="25.5">
      <c r="A307" s="187" t="s">
        <v>1238</v>
      </c>
      <c r="B307" s="73" t="s">
        <v>771</v>
      </c>
      <c r="C307" s="74" t="s">
        <v>1532</v>
      </c>
      <c r="D307" s="69">
        <f>+ROUND('10. Alimentazione CE Costi'!E462,2)</f>
        <v>0</v>
      </c>
      <c r="E307" s="69">
        <f>+ROUND('10. Alimentazione CE Costi'!F462,2)</f>
        <v>0</v>
      </c>
      <c r="F307" s="56"/>
      <c r="G307" s="196"/>
      <c r="H307" s="70"/>
      <c r="J307" s="66"/>
      <c r="L307" s="70"/>
    </row>
    <row r="308" spans="1:12" ht="25.5">
      <c r="A308" s="187" t="s">
        <v>1287</v>
      </c>
      <c r="B308" s="73" t="s">
        <v>773</v>
      </c>
      <c r="C308" s="74" t="s">
        <v>1533</v>
      </c>
      <c r="D308" s="69">
        <f>+ROUND('10. Alimentazione CE Costi'!E464,2)</f>
        <v>0</v>
      </c>
      <c r="E308" s="69">
        <f>+ROUND('10. Alimentazione CE Costi'!F464,2)</f>
        <v>0</v>
      </c>
      <c r="F308" s="56"/>
      <c r="G308" s="196"/>
      <c r="H308" s="70"/>
      <c r="J308" s="66"/>
      <c r="L308" s="70"/>
    </row>
    <row r="309" spans="1:12" ht="25.5">
      <c r="A309" s="190" t="s">
        <v>1283</v>
      </c>
      <c r="B309" s="71" t="s">
        <v>774</v>
      </c>
      <c r="C309" s="72" t="s">
        <v>1534</v>
      </c>
      <c r="D309" s="69">
        <f>+ROUND('10. Alimentazione CE Costi'!E466,2)</f>
        <v>0</v>
      </c>
      <c r="E309" s="69">
        <f>+ROUND('10. Alimentazione CE Costi'!F466,2)</f>
        <v>0</v>
      </c>
      <c r="F309" s="56"/>
      <c r="G309" s="196"/>
      <c r="H309" s="70"/>
      <c r="J309" s="66"/>
      <c r="L309" s="70"/>
    </row>
    <row r="310" spans="1:12" ht="18.75">
      <c r="A310" s="187"/>
      <c r="B310" s="93" t="s">
        <v>776</v>
      </c>
      <c r="C310" s="94" t="s">
        <v>1535</v>
      </c>
      <c r="D310" s="92">
        <f t="shared" ref="D310" si="90">+D311+D331+D345</f>
        <v>18651569.48</v>
      </c>
      <c r="E310" s="92">
        <f t="shared" ref="E310" si="91">+E311+E331+E345</f>
        <v>18416399.109999996</v>
      </c>
      <c r="F310" s="56" t="s">
        <v>1820</v>
      </c>
      <c r="G310" s="196"/>
      <c r="H310" s="70"/>
      <c r="J310" s="66"/>
      <c r="L310" s="70"/>
    </row>
    <row r="311" spans="1:12" ht="18.75">
      <c r="A311" s="187"/>
      <c r="B311" s="118" t="s">
        <v>777</v>
      </c>
      <c r="C311" s="119" t="s">
        <v>1536</v>
      </c>
      <c r="D311" s="106">
        <f t="shared" ref="D311" si="92">+D312+D313+D314+D317+D318+D319+D320+D321+D322+D323+D324+D327</f>
        <v>17875143.859999999</v>
      </c>
      <c r="E311" s="106">
        <f t="shared" ref="E311" si="93">+E312+E313+E314+E317+E318+E319+E320+E321+E322+E323+E324+E327</f>
        <v>17323927.469999999</v>
      </c>
      <c r="F311" s="56" t="s">
        <v>1820</v>
      </c>
      <c r="G311" s="196"/>
      <c r="H311" s="70"/>
      <c r="J311" s="66"/>
      <c r="L311" s="70"/>
    </row>
    <row r="312" spans="1:12" ht="18.75">
      <c r="A312" s="187"/>
      <c r="B312" s="73" t="s">
        <v>779</v>
      </c>
      <c r="C312" s="74" t="s">
        <v>1537</v>
      </c>
      <c r="D312" s="69">
        <f>+ROUND('10. Alimentazione CE Costi'!E470,2)</f>
        <v>6522.12</v>
      </c>
      <c r="E312" s="69">
        <f>+ROUND('10. Alimentazione CE Costi'!F470,2)</f>
        <v>0</v>
      </c>
      <c r="F312" s="56"/>
      <c r="G312" s="196"/>
      <c r="H312" s="70"/>
      <c r="J312" s="66"/>
      <c r="L312" s="70"/>
    </row>
    <row r="313" spans="1:12" ht="18.75">
      <c r="A313" s="187"/>
      <c r="B313" s="73" t="s">
        <v>781</v>
      </c>
      <c r="C313" s="74" t="s">
        <v>1538</v>
      </c>
      <c r="D313" s="69">
        <f>+ROUND('10. Alimentazione CE Costi'!E472,2)</f>
        <v>51417.599999999999</v>
      </c>
      <c r="E313" s="69">
        <f>+ROUND('10. Alimentazione CE Costi'!F472,2)</f>
        <v>35549.53</v>
      </c>
      <c r="F313" s="56"/>
      <c r="G313" s="196"/>
      <c r="H313" s="70"/>
      <c r="J313" s="66"/>
      <c r="L313" s="70"/>
    </row>
    <row r="314" spans="1:12" ht="18.75">
      <c r="A314" s="187"/>
      <c r="B314" s="110" t="s">
        <v>782</v>
      </c>
      <c r="C314" s="111" t="s">
        <v>1539</v>
      </c>
      <c r="D314" s="109">
        <f t="shared" ref="D314" si="94">+D315+D316</f>
        <v>116472</v>
      </c>
      <c r="E314" s="109">
        <f t="shared" ref="E314" si="95">+E315+E316</f>
        <v>122665.31</v>
      </c>
      <c r="F314" s="56" t="s">
        <v>1820</v>
      </c>
      <c r="G314" s="196"/>
      <c r="H314" s="70"/>
      <c r="J314" s="66"/>
      <c r="L314" s="70"/>
    </row>
    <row r="315" spans="1:12" ht="18.75">
      <c r="A315" s="187"/>
      <c r="B315" s="73" t="s">
        <v>784</v>
      </c>
      <c r="C315" s="74" t="s">
        <v>1540</v>
      </c>
      <c r="D315" s="69">
        <f>+ROUND('10. Alimentazione CE Costi'!E475,2)</f>
        <v>116472</v>
      </c>
      <c r="E315" s="69">
        <f>+ROUND('10. Alimentazione CE Costi'!F475,2)</f>
        <v>102809.58</v>
      </c>
      <c r="F315" s="56"/>
      <c r="G315" s="196"/>
      <c r="H315" s="70"/>
      <c r="J315" s="66"/>
      <c r="L315" s="70"/>
    </row>
    <row r="316" spans="1:12" ht="18.75">
      <c r="A316" s="187"/>
      <c r="B316" s="73" t="s">
        <v>786</v>
      </c>
      <c r="C316" s="74" t="s">
        <v>1541</v>
      </c>
      <c r="D316" s="69">
        <f>+ROUND('10. Alimentazione CE Costi'!E477,2)</f>
        <v>0</v>
      </c>
      <c r="E316" s="69">
        <f>+ROUND('10. Alimentazione CE Costi'!F477,2)</f>
        <v>19855.73</v>
      </c>
      <c r="F316" s="56"/>
      <c r="G316" s="196"/>
      <c r="H316" s="70"/>
      <c r="J316" s="66"/>
      <c r="L316" s="70"/>
    </row>
    <row r="317" spans="1:12" ht="18.75">
      <c r="A317" s="187"/>
      <c r="B317" s="73" t="s">
        <v>788</v>
      </c>
      <c r="C317" s="74" t="s">
        <v>1542</v>
      </c>
      <c r="D317" s="69">
        <f>+ROUND('10. Alimentazione CE Costi'!E479,2)</f>
        <v>0</v>
      </c>
      <c r="E317" s="69">
        <f>+ROUND('10. Alimentazione CE Costi'!F479,2)</f>
        <v>0</v>
      </c>
      <c r="F317" s="56"/>
      <c r="G317" s="196"/>
      <c r="H317" s="70"/>
      <c r="J317" s="66"/>
      <c r="L317" s="70"/>
    </row>
    <row r="318" spans="1:12" ht="18.75">
      <c r="A318" s="187"/>
      <c r="B318" s="73" t="s">
        <v>789</v>
      </c>
      <c r="C318" s="74" t="s">
        <v>1543</v>
      </c>
      <c r="D318" s="69">
        <f>+ROUND('10. Alimentazione CE Costi'!E481+'10. Alimentazione CE Costi'!E482+'10. Alimentazione CE Costi'!E483,2)</f>
        <v>61488</v>
      </c>
      <c r="E318" s="69">
        <f>+ROUND('10. Alimentazione CE Costi'!F481+'10. Alimentazione CE Costi'!F482+'10. Alimentazione CE Costi'!F483,2)</f>
        <v>1265.6300000000001</v>
      </c>
      <c r="F318" s="56"/>
      <c r="G318" s="196"/>
      <c r="H318" s="70"/>
      <c r="J318" s="66"/>
      <c r="L318" s="70"/>
    </row>
    <row r="319" spans="1:12" ht="18.75">
      <c r="A319" s="187"/>
      <c r="B319" s="73" t="s">
        <v>794</v>
      </c>
      <c r="C319" s="74" t="s">
        <v>1544</v>
      </c>
      <c r="D319" s="69">
        <f>+ROUND('10. Alimentazione CE Costi'!E485,2)</f>
        <v>1716.55</v>
      </c>
      <c r="E319" s="69">
        <f>+ROUND('10. Alimentazione CE Costi'!F485,2)</f>
        <v>1227.31</v>
      </c>
      <c r="F319" s="56"/>
      <c r="G319" s="196"/>
      <c r="H319" s="70"/>
      <c r="J319" s="66"/>
      <c r="L319" s="70"/>
    </row>
    <row r="320" spans="1:12" ht="18.75">
      <c r="A320" s="187"/>
      <c r="B320" s="73" t="s">
        <v>796</v>
      </c>
      <c r="C320" s="74" t="s">
        <v>1545</v>
      </c>
      <c r="D320" s="69">
        <f>+ROUND('10. Alimentazione CE Costi'!E487,2)</f>
        <v>95873.19</v>
      </c>
      <c r="E320" s="69">
        <f>+ROUND('10. Alimentazione CE Costi'!F487,2)</f>
        <v>258477.87</v>
      </c>
      <c r="F320" s="56"/>
      <c r="G320" s="196"/>
      <c r="H320" s="70"/>
      <c r="J320" s="66"/>
      <c r="L320" s="70"/>
    </row>
    <row r="321" spans="1:12" ht="18.75">
      <c r="A321" s="187"/>
      <c r="B321" s="73" t="s">
        <v>797</v>
      </c>
      <c r="C321" s="74" t="s">
        <v>1546</v>
      </c>
      <c r="D321" s="69">
        <f>+ROUND('10. Alimentazione CE Costi'!E489+'10. Alimentazione CE Costi'!E490,2)</f>
        <v>104271.58</v>
      </c>
      <c r="E321" s="69">
        <f>+ROUND('10. Alimentazione CE Costi'!F489+'10. Alimentazione CE Costi'!F490,2)</f>
        <v>61504.85</v>
      </c>
      <c r="F321" s="56"/>
      <c r="G321" s="196"/>
      <c r="H321" s="70"/>
      <c r="J321" s="66"/>
      <c r="L321" s="70"/>
    </row>
    <row r="322" spans="1:12" ht="18.75">
      <c r="A322" s="187"/>
      <c r="B322" s="73" t="s">
        <v>801</v>
      </c>
      <c r="C322" s="74" t="s">
        <v>1547</v>
      </c>
      <c r="D322" s="69">
        <f>+ROUND('10. Alimentazione CE Costi'!E492,2)</f>
        <v>16881.68</v>
      </c>
      <c r="E322" s="69">
        <f>+ROUND('10. Alimentazione CE Costi'!F492,2)</f>
        <v>9481.44</v>
      </c>
      <c r="F322" s="56"/>
      <c r="G322" s="196"/>
      <c r="H322" s="70"/>
      <c r="J322" s="66"/>
      <c r="L322" s="70"/>
    </row>
    <row r="323" spans="1:12" ht="18.75">
      <c r="A323" s="187"/>
      <c r="B323" s="73" t="s">
        <v>803</v>
      </c>
      <c r="C323" s="74" t="s">
        <v>1548</v>
      </c>
      <c r="D323" s="69">
        <f>+ROUND('10. Alimentazione CE Costi'!E494+'10. Alimentazione CE Costi'!E495+'10. Alimentazione CE Costi'!E496+'10. Alimentazione CE Costi'!E497+'10. Alimentazione CE Costi'!E498,2)</f>
        <v>273379.52</v>
      </c>
      <c r="E323" s="69">
        <f>+ROUND('10. Alimentazione CE Costi'!F494+'10. Alimentazione CE Costi'!F495+'10. Alimentazione CE Costi'!F496+'10. Alimentazione CE Costi'!F497+'10. Alimentazione CE Costi'!F498,2)</f>
        <v>253993.61</v>
      </c>
      <c r="F323" s="56"/>
      <c r="G323" s="196"/>
      <c r="H323" s="70"/>
      <c r="J323" s="66"/>
      <c r="L323" s="70"/>
    </row>
    <row r="324" spans="1:12" ht="18.75">
      <c r="A324" s="187"/>
      <c r="B324" s="110" t="s">
        <v>808</v>
      </c>
      <c r="C324" s="111" t="s">
        <v>1549</v>
      </c>
      <c r="D324" s="109">
        <f t="shared" ref="D324" si="96">+D325+D326</f>
        <v>3929460.1599999997</v>
      </c>
      <c r="E324" s="109">
        <f t="shared" ref="E324" si="97">+E325+E326</f>
        <v>3922466.04</v>
      </c>
      <c r="F324" s="56" t="s">
        <v>1820</v>
      </c>
      <c r="G324" s="196"/>
      <c r="H324" s="70"/>
      <c r="J324" s="66"/>
      <c r="L324" s="70"/>
    </row>
    <row r="325" spans="1:12" ht="18.75">
      <c r="A325" s="187"/>
      <c r="B325" s="75" t="s">
        <v>809</v>
      </c>
      <c r="C325" s="76" t="s">
        <v>1550</v>
      </c>
      <c r="D325" s="69">
        <f>+ROUND('10. Alimentazione CE Costi'!E501,2)</f>
        <v>3894756.28</v>
      </c>
      <c r="E325" s="69">
        <f>+ROUND('10. Alimentazione CE Costi'!F501,2)</f>
        <v>3898552.5</v>
      </c>
      <c r="F325" s="56"/>
      <c r="G325" s="196"/>
      <c r="H325" s="80"/>
      <c r="J325" s="66"/>
      <c r="L325" s="70"/>
    </row>
    <row r="326" spans="1:12" ht="25.5">
      <c r="A326" s="187"/>
      <c r="B326" s="75" t="s">
        <v>811</v>
      </c>
      <c r="C326" s="76" t="s">
        <v>1551</v>
      </c>
      <c r="D326" s="69">
        <f>+ROUND('10. Alimentazione CE Costi'!E503,2)</f>
        <v>34703.879999999997</v>
      </c>
      <c r="E326" s="69">
        <f>+ROUND('10. Alimentazione CE Costi'!F503,2)</f>
        <v>23913.54</v>
      </c>
      <c r="F326" s="56"/>
      <c r="G326" s="196"/>
      <c r="H326" s="70"/>
      <c r="J326" s="66"/>
      <c r="L326" s="70"/>
    </row>
    <row r="327" spans="1:12" ht="18.75">
      <c r="A327" s="187"/>
      <c r="B327" s="110" t="s">
        <v>812</v>
      </c>
      <c r="C327" s="111" t="s">
        <v>1552</v>
      </c>
      <c r="D327" s="109">
        <f t="shared" ref="D327" si="98">+D328+D329+D330</f>
        <v>13217661.460000001</v>
      </c>
      <c r="E327" s="109">
        <f t="shared" ref="E327" si="99">+E328+E329+E330</f>
        <v>12657295.879999999</v>
      </c>
      <c r="F327" s="56" t="s">
        <v>1820</v>
      </c>
      <c r="G327" s="196"/>
      <c r="H327" s="70"/>
      <c r="J327" s="66"/>
      <c r="L327" s="70"/>
    </row>
    <row r="328" spans="1:12" ht="25.5">
      <c r="A328" s="187" t="s">
        <v>1238</v>
      </c>
      <c r="B328" s="75" t="s">
        <v>814</v>
      </c>
      <c r="C328" s="76" t="s">
        <v>1553</v>
      </c>
      <c r="D328" s="69">
        <f>+ROUND('10. Alimentazione CE Costi'!E506,2)</f>
        <v>0</v>
      </c>
      <c r="E328" s="69">
        <f>+ROUND('10. Alimentazione CE Costi'!F506,2)</f>
        <v>675</v>
      </c>
      <c r="F328" s="56"/>
      <c r="G328" s="196"/>
      <c r="H328" s="70"/>
      <c r="J328" s="66"/>
      <c r="L328" s="70"/>
    </row>
    <row r="329" spans="1:12" ht="25.5">
      <c r="A329" s="187"/>
      <c r="B329" s="75" t="s">
        <v>815</v>
      </c>
      <c r="C329" s="76" t="s">
        <v>1554</v>
      </c>
      <c r="D329" s="69">
        <f>+ROUND('10. Alimentazione CE Costi'!E508+'10. Alimentazione CE Costi'!E509,2)</f>
        <v>147562</v>
      </c>
      <c r="E329" s="69">
        <f>+ROUND('10. Alimentazione CE Costi'!F508+'10. Alimentazione CE Costi'!F509,2)</f>
        <v>1251.6199999999999</v>
      </c>
      <c r="F329" s="56"/>
      <c r="G329" s="196"/>
      <c r="H329" s="70"/>
      <c r="J329" s="66"/>
      <c r="L329" s="70"/>
    </row>
    <row r="330" spans="1:12" ht="18.75">
      <c r="A330" s="187"/>
      <c r="B330" s="75" t="s">
        <v>819</v>
      </c>
      <c r="C330" s="76" t="s">
        <v>1555</v>
      </c>
      <c r="D330" s="69">
        <f>+ROUND(SUM('10. Alimentazione CE Costi'!E511:E525),2)</f>
        <v>13070099.460000001</v>
      </c>
      <c r="E330" s="69">
        <f>+ROUND(SUM('10. Alimentazione CE Costi'!F511:F525),2)</f>
        <v>12655369.26</v>
      </c>
      <c r="F330" s="56"/>
      <c r="G330" s="196"/>
      <c r="H330" s="70"/>
      <c r="J330" s="66"/>
      <c r="L330" s="70"/>
    </row>
    <row r="331" spans="1:12" ht="25.5">
      <c r="A331" s="187"/>
      <c r="B331" s="118" t="s">
        <v>834</v>
      </c>
      <c r="C331" s="119" t="s">
        <v>1556</v>
      </c>
      <c r="D331" s="106">
        <f t="shared" ref="D331" si="100">+D332+D333+D334+D341</f>
        <v>722476.53</v>
      </c>
      <c r="E331" s="106">
        <f t="shared" ref="E331" si="101">+E332+E333+E334+E341</f>
        <v>1058564.3999999999</v>
      </c>
      <c r="F331" s="56" t="s">
        <v>1820</v>
      </c>
      <c r="G331" s="196"/>
      <c r="H331" s="70"/>
      <c r="J331" s="66"/>
      <c r="L331" s="70"/>
    </row>
    <row r="332" spans="1:12" ht="25.5">
      <c r="A332" s="187" t="s">
        <v>1238</v>
      </c>
      <c r="B332" s="73" t="s">
        <v>836</v>
      </c>
      <c r="C332" s="74" t="s">
        <v>1557</v>
      </c>
      <c r="D332" s="69">
        <f>+ROUND('10. Alimentazione CE Costi'!E528,2)</f>
        <v>17058.68</v>
      </c>
      <c r="E332" s="69">
        <f>+ROUND('10. Alimentazione CE Costi'!F528,2)</f>
        <v>49503</v>
      </c>
      <c r="F332" s="56"/>
      <c r="G332" s="196"/>
      <c r="H332" s="70"/>
      <c r="J332" s="66"/>
      <c r="L332" s="70"/>
    </row>
    <row r="333" spans="1:12" ht="25.5">
      <c r="A333" s="187"/>
      <c r="B333" s="73" t="s">
        <v>838</v>
      </c>
      <c r="C333" s="74" t="s">
        <v>1558</v>
      </c>
      <c r="D333" s="69">
        <f>+ROUND('10. Alimentazione CE Costi'!E530,2)</f>
        <v>0</v>
      </c>
      <c r="E333" s="69">
        <f>+ROUND('10. Alimentazione CE Costi'!F530,2)</f>
        <v>0</v>
      </c>
      <c r="F333" s="56"/>
      <c r="G333" s="196"/>
      <c r="H333" s="70"/>
      <c r="J333" s="66"/>
      <c r="L333" s="70"/>
    </row>
    <row r="334" spans="1:12" ht="25.5">
      <c r="A334" s="187"/>
      <c r="B334" s="110" t="s">
        <v>839</v>
      </c>
      <c r="C334" s="111" t="s">
        <v>1559</v>
      </c>
      <c r="D334" s="109">
        <f t="shared" ref="D334" si="102">SUM(D335:D340)</f>
        <v>705417.85</v>
      </c>
      <c r="E334" s="109">
        <f t="shared" ref="E334" si="103">SUM(E335:E340)</f>
        <v>1006853.3899999999</v>
      </c>
      <c r="F334" s="56" t="s">
        <v>1820</v>
      </c>
      <c r="G334" s="196"/>
      <c r="H334" s="70"/>
      <c r="J334" s="66"/>
      <c r="L334" s="70"/>
    </row>
    <row r="335" spans="1:12" ht="18.75">
      <c r="A335" s="187"/>
      <c r="B335" s="75" t="s">
        <v>840</v>
      </c>
      <c r="C335" s="76" t="s">
        <v>1560</v>
      </c>
      <c r="D335" s="69">
        <f>+ROUND(SUM('10. Alimentazione CE Costi'!E533:E537),2)</f>
        <v>7515.2</v>
      </c>
      <c r="E335" s="69">
        <f>+ROUND(SUM('10. Alimentazione CE Costi'!F533:F537),2)</f>
        <v>10245.83</v>
      </c>
      <c r="F335" s="56"/>
      <c r="G335" s="196"/>
      <c r="H335" s="70"/>
      <c r="J335" s="66"/>
      <c r="L335" s="70"/>
    </row>
    <row r="336" spans="1:12" ht="25.5">
      <c r="A336" s="187"/>
      <c r="B336" s="75" t="s">
        <v>847</v>
      </c>
      <c r="C336" s="76" t="s">
        <v>1561</v>
      </c>
      <c r="D336" s="69">
        <f>+ROUND('10. Alimentazione CE Costi'!E539,2)</f>
        <v>0</v>
      </c>
      <c r="E336" s="69">
        <f>+ROUND('10. Alimentazione CE Costi'!F539,2)</f>
        <v>0</v>
      </c>
      <c r="F336" s="56"/>
      <c r="G336" s="196"/>
      <c r="H336" s="70"/>
      <c r="J336" s="66"/>
      <c r="L336" s="70"/>
    </row>
    <row r="337" spans="1:12" ht="25.5">
      <c r="A337" s="187"/>
      <c r="B337" s="75" t="s">
        <v>848</v>
      </c>
      <c r="C337" s="76" t="s">
        <v>1562</v>
      </c>
      <c r="D337" s="69">
        <f>+ROUND('10. Alimentazione CE Costi'!E541,2)</f>
        <v>0</v>
      </c>
      <c r="E337" s="69">
        <f>+ROUND('10. Alimentazione CE Costi'!F541,2)</f>
        <v>0</v>
      </c>
      <c r="F337" s="56"/>
      <c r="G337" s="196"/>
      <c r="H337" s="70"/>
      <c r="J337" s="66"/>
      <c r="L337" s="70"/>
    </row>
    <row r="338" spans="1:12" ht="18.75">
      <c r="A338" s="187"/>
      <c r="B338" s="75" t="s">
        <v>849</v>
      </c>
      <c r="C338" s="76" t="s">
        <v>1563</v>
      </c>
      <c r="D338" s="69">
        <f>+ROUND('10. Alimentazione CE Costi'!E543,2)</f>
        <v>574477.9</v>
      </c>
      <c r="E338" s="69">
        <f>+ROUND('10. Alimentazione CE Costi'!F543,2)</f>
        <v>874802.36</v>
      </c>
      <c r="F338" s="56"/>
      <c r="G338" s="196"/>
      <c r="H338" s="70"/>
      <c r="J338" s="66"/>
      <c r="L338" s="70"/>
    </row>
    <row r="339" spans="1:12" ht="25.5">
      <c r="A339" s="187"/>
      <c r="B339" s="75" t="s">
        <v>850</v>
      </c>
      <c r="C339" s="76" t="s">
        <v>1564</v>
      </c>
      <c r="D339" s="79">
        <f>+ROUND('10. Alimentazione CE Costi'!E545+'10. Alimentazione CE Costi'!E546+'10. Alimentazione CE Costi'!E547+'10. Alimentazione CE Costi'!E548+'10. Alimentazione CE Costi'!E549,2)</f>
        <v>123424.75</v>
      </c>
      <c r="E339" s="79">
        <f>+ROUND('10. Alimentazione CE Costi'!F545+'10. Alimentazione CE Costi'!F546+'10. Alimentazione CE Costi'!F547+'10. Alimentazione CE Costi'!F548+'10. Alimentazione CE Costi'!F549,2)</f>
        <v>121805.2</v>
      </c>
      <c r="F339" s="56"/>
      <c r="G339" s="196"/>
      <c r="H339" s="70"/>
      <c r="J339" s="66"/>
      <c r="L339" s="70"/>
    </row>
    <row r="340" spans="1:12" ht="51">
      <c r="A340" s="187"/>
      <c r="B340" s="75" t="s">
        <v>855</v>
      </c>
      <c r="C340" s="76" t="s">
        <v>1565</v>
      </c>
      <c r="D340" s="69">
        <f>+ROUND('10. Alimentazione CE Costi'!E551,2)</f>
        <v>0</v>
      </c>
      <c r="E340" s="69">
        <f>+ROUND('10. Alimentazione CE Costi'!F551,2)</f>
        <v>0</v>
      </c>
      <c r="F340" s="56"/>
      <c r="G340" s="196"/>
      <c r="H340" s="70"/>
      <c r="J340" s="66"/>
      <c r="L340" s="70"/>
    </row>
    <row r="341" spans="1:12" ht="25.5">
      <c r="A341" s="187"/>
      <c r="B341" s="110" t="s">
        <v>856</v>
      </c>
      <c r="C341" s="111" t="s">
        <v>1566</v>
      </c>
      <c r="D341" s="109">
        <f t="shared" ref="D341" si="104">SUM(D342:D344)</f>
        <v>0</v>
      </c>
      <c r="E341" s="109">
        <f t="shared" ref="E341" si="105">SUM(E342:E344)</f>
        <v>2208.0100000000002</v>
      </c>
      <c r="F341" s="56" t="s">
        <v>1820</v>
      </c>
      <c r="G341" s="196"/>
      <c r="H341" s="70"/>
      <c r="J341" s="66"/>
      <c r="L341" s="70"/>
    </row>
    <row r="342" spans="1:12" ht="38.25">
      <c r="A342" s="187" t="s">
        <v>1238</v>
      </c>
      <c r="B342" s="75" t="s">
        <v>858</v>
      </c>
      <c r="C342" s="76" t="s">
        <v>1567</v>
      </c>
      <c r="D342" s="69">
        <f>+ROUND('10. Alimentazione CE Costi'!E554,2)</f>
        <v>0</v>
      </c>
      <c r="E342" s="69">
        <f>+ROUND('10. Alimentazione CE Costi'!F554,2)</f>
        <v>2208.0100000000002</v>
      </c>
      <c r="F342" s="56"/>
      <c r="G342" s="196"/>
      <c r="H342" s="70"/>
      <c r="J342" s="66"/>
      <c r="L342" s="70"/>
    </row>
    <row r="343" spans="1:12" ht="38.25">
      <c r="A343" s="187"/>
      <c r="B343" s="75" t="s">
        <v>860</v>
      </c>
      <c r="C343" s="76" t="s">
        <v>1568</v>
      </c>
      <c r="D343" s="69">
        <f>+ROUND('10. Alimentazione CE Costi'!E556,2)</f>
        <v>0</v>
      </c>
      <c r="E343" s="69">
        <f>+ROUND('10. Alimentazione CE Costi'!F556,2)</f>
        <v>0</v>
      </c>
      <c r="F343" s="56"/>
      <c r="G343" s="196"/>
      <c r="H343" s="70"/>
      <c r="J343" s="66"/>
      <c r="L343" s="70"/>
    </row>
    <row r="344" spans="1:12" ht="38.25">
      <c r="A344" s="187" t="s">
        <v>1287</v>
      </c>
      <c r="B344" s="75" t="s">
        <v>862</v>
      </c>
      <c r="C344" s="76" t="s">
        <v>1569</v>
      </c>
      <c r="D344" s="69">
        <f>+ROUND('10. Alimentazione CE Costi'!E558,2)</f>
        <v>0</v>
      </c>
      <c r="E344" s="69">
        <f>+ROUND('10. Alimentazione CE Costi'!F558,2)</f>
        <v>0</v>
      </c>
      <c r="F344" s="56"/>
      <c r="G344" s="196"/>
      <c r="H344" s="70"/>
      <c r="J344" s="66"/>
      <c r="L344" s="70"/>
    </row>
    <row r="345" spans="1:12" ht="18.75">
      <c r="A345" s="187"/>
      <c r="B345" s="118" t="s">
        <v>863</v>
      </c>
      <c r="C345" s="119" t="s">
        <v>1570</v>
      </c>
      <c r="D345" s="106">
        <f t="shared" ref="D345" si="106">+D346+D347</f>
        <v>53949.09</v>
      </c>
      <c r="E345" s="106">
        <f t="shared" ref="E345" si="107">+E346+E347</f>
        <v>33907.24</v>
      </c>
      <c r="F345" s="56" t="s">
        <v>1820</v>
      </c>
      <c r="G345" s="196"/>
      <c r="H345" s="70"/>
      <c r="J345" s="66"/>
      <c r="L345" s="70"/>
    </row>
    <row r="346" spans="1:12" ht="18.75">
      <c r="A346" s="187"/>
      <c r="B346" s="73" t="s">
        <v>865</v>
      </c>
      <c r="C346" s="74" t="s">
        <v>1571</v>
      </c>
      <c r="D346" s="69">
        <f>+ROUND('10. Alimentazione CE Costi'!E561,2)</f>
        <v>0</v>
      </c>
      <c r="E346" s="69">
        <f>+ROUND('10. Alimentazione CE Costi'!F561,2)</f>
        <v>0</v>
      </c>
      <c r="F346" s="56"/>
      <c r="G346" s="196"/>
      <c r="H346" s="70"/>
      <c r="J346" s="66"/>
      <c r="L346" s="70"/>
    </row>
    <row r="347" spans="1:12" ht="18.75">
      <c r="A347" s="187"/>
      <c r="B347" s="73" t="s">
        <v>867</v>
      </c>
      <c r="C347" s="74" t="s">
        <v>1572</v>
      </c>
      <c r="D347" s="69">
        <f>+ROUND('10. Alimentazione CE Costi'!E563,2)</f>
        <v>53949.09</v>
      </c>
      <c r="E347" s="69">
        <f>+ROUND('10. Alimentazione CE Costi'!F563,2)</f>
        <v>33907.24</v>
      </c>
      <c r="F347" s="56"/>
      <c r="G347" s="196"/>
      <c r="H347" s="70"/>
      <c r="J347" s="66"/>
      <c r="L347" s="70"/>
    </row>
    <row r="348" spans="1:12" ht="25.5">
      <c r="A348" s="187"/>
      <c r="B348" s="98" t="s">
        <v>1573</v>
      </c>
      <c r="C348" s="99" t="s">
        <v>1574</v>
      </c>
      <c r="D348" s="100">
        <f t="shared" ref="D348" si="108">SUM(D349:D355)</f>
        <v>1064.03</v>
      </c>
      <c r="E348" s="100">
        <f t="shared" ref="E348" si="109">SUM(E349:E355)</f>
        <v>2901.34</v>
      </c>
      <c r="F348" s="56" t="s">
        <v>1820</v>
      </c>
      <c r="G348" s="196"/>
      <c r="H348" s="70"/>
      <c r="J348" s="66"/>
      <c r="L348" s="70"/>
    </row>
    <row r="349" spans="1:12" ht="25.5">
      <c r="A349" s="187"/>
      <c r="B349" s="71" t="s">
        <v>869</v>
      </c>
      <c r="C349" s="72" t="s">
        <v>1575</v>
      </c>
      <c r="D349" s="69">
        <f>+ROUND('10. Alimentazione CE Costi'!E566,2)</f>
        <v>0</v>
      </c>
      <c r="E349" s="69">
        <f>+ROUND('10. Alimentazione CE Costi'!F566,2)</f>
        <v>0</v>
      </c>
      <c r="F349" s="56"/>
      <c r="G349" s="196"/>
      <c r="H349" s="70"/>
      <c r="J349" s="66"/>
      <c r="L349" s="70"/>
    </row>
    <row r="350" spans="1:12" ht="25.5">
      <c r="A350" s="187"/>
      <c r="B350" s="71" t="s">
        <v>870</v>
      </c>
      <c r="C350" s="72" t="s">
        <v>1576</v>
      </c>
      <c r="D350" s="69">
        <f>+ROUND('10. Alimentazione CE Costi'!E568+'10. Alimentazione CE Costi'!E569+'10. Alimentazione CE Costi'!E570,2)</f>
        <v>0</v>
      </c>
      <c r="E350" s="69">
        <f>+ROUND('10. Alimentazione CE Costi'!F568+'10. Alimentazione CE Costi'!F569+'10. Alimentazione CE Costi'!F570,2)</f>
        <v>0</v>
      </c>
      <c r="F350" s="56"/>
      <c r="G350" s="196"/>
      <c r="H350" s="70"/>
      <c r="J350" s="66"/>
      <c r="L350" s="70"/>
    </row>
    <row r="351" spans="1:12" ht="25.5">
      <c r="A351" s="187"/>
      <c r="B351" s="71" t="s">
        <v>875</v>
      </c>
      <c r="C351" s="72" t="s">
        <v>1577</v>
      </c>
      <c r="D351" s="69">
        <f>+ROUND('10. Alimentazione CE Costi'!E572,2)</f>
        <v>0</v>
      </c>
      <c r="E351" s="69">
        <f>+ROUND('10. Alimentazione CE Costi'!F572,2)</f>
        <v>0</v>
      </c>
      <c r="F351" s="56"/>
      <c r="G351" s="196"/>
      <c r="H351" s="70"/>
      <c r="J351" s="66"/>
      <c r="L351" s="70"/>
    </row>
    <row r="352" spans="1:12" ht="18.75">
      <c r="A352" s="187"/>
      <c r="B352" s="71" t="s">
        <v>877</v>
      </c>
      <c r="C352" s="72" t="s">
        <v>1578</v>
      </c>
      <c r="D352" s="69">
        <f>+ROUND('10. Alimentazione CE Costi'!E574,2)</f>
        <v>0</v>
      </c>
      <c r="E352" s="69">
        <f>+ROUND('10. Alimentazione CE Costi'!F574,2)</f>
        <v>0</v>
      </c>
      <c r="F352" s="56"/>
      <c r="G352" s="196"/>
      <c r="H352" s="70"/>
      <c r="J352" s="66"/>
      <c r="L352" s="70"/>
    </row>
    <row r="353" spans="1:12" ht="18.75">
      <c r="A353" s="187"/>
      <c r="B353" s="71" t="s">
        <v>879</v>
      </c>
      <c r="C353" s="72" t="s">
        <v>1579</v>
      </c>
      <c r="D353" s="69">
        <f>+ROUND('10. Alimentazione CE Costi'!E576,2)</f>
        <v>1064.03</v>
      </c>
      <c r="E353" s="69">
        <f>+ROUND('10. Alimentazione CE Costi'!F576,2)</f>
        <v>2901.34</v>
      </c>
      <c r="F353" s="56"/>
      <c r="G353" s="196"/>
      <c r="H353" s="70"/>
      <c r="J353" s="66"/>
      <c r="L353" s="70"/>
    </row>
    <row r="354" spans="1:12" ht="18.75">
      <c r="A354" s="187"/>
      <c r="B354" s="71" t="s">
        <v>881</v>
      </c>
      <c r="C354" s="72" t="s">
        <v>1580</v>
      </c>
      <c r="D354" s="69">
        <f>+ROUND('10. Alimentazione CE Costi'!E578+'10. Alimentazione CE Costi'!E579+'10. Alimentazione CE Costi'!E580,2)</f>
        <v>0</v>
      </c>
      <c r="E354" s="69">
        <f>+ROUND('10. Alimentazione CE Costi'!F578+'10. Alimentazione CE Costi'!F579+'10. Alimentazione CE Costi'!F580,2)</f>
        <v>0</v>
      </c>
      <c r="F354" s="56"/>
      <c r="G354" s="196"/>
      <c r="H354" s="70"/>
      <c r="J354" s="66"/>
      <c r="L354" s="70"/>
    </row>
    <row r="355" spans="1:12" ht="25.5">
      <c r="A355" s="192" t="s">
        <v>1238</v>
      </c>
      <c r="B355" s="71" t="s">
        <v>885</v>
      </c>
      <c r="C355" s="72" t="s">
        <v>1581</v>
      </c>
      <c r="D355" s="69">
        <f>+ROUND('10. Alimentazione CE Costi'!E582,2)</f>
        <v>0</v>
      </c>
      <c r="E355" s="69">
        <f>+ROUND('10. Alimentazione CE Costi'!F582,2)</f>
        <v>0</v>
      </c>
      <c r="F355" s="56"/>
      <c r="G355" s="196"/>
      <c r="H355" s="70"/>
      <c r="J355" s="66"/>
      <c r="L355" s="70"/>
    </row>
    <row r="356" spans="1:12" ht="18.75">
      <c r="A356" s="187"/>
      <c r="B356" s="98" t="s">
        <v>886</v>
      </c>
      <c r="C356" s="99" t="s">
        <v>1582</v>
      </c>
      <c r="D356" s="100">
        <f t="shared" ref="D356" si="110">+D357+D358+D361+D364+D365</f>
        <v>3100078.79</v>
      </c>
      <c r="E356" s="100">
        <f t="shared" ref="E356" si="111">+E357+E358+E361+E364+E365</f>
        <v>3182900.13</v>
      </c>
      <c r="F356" s="56" t="s">
        <v>1820</v>
      </c>
      <c r="G356" s="196"/>
      <c r="H356" s="70"/>
      <c r="J356" s="66"/>
      <c r="L356" s="70"/>
    </row>
    <row r="357" spans="1:12" ht="18.75">
      <c r="A357" s="187"/>
      <c r="B357" s="71" t="s">
        <v>887</v>
      </c>
      <c r="C357" s="72" t="s">
        <v>1583</v>
      </c>
      <c r="D357" s="69">
        <f>+ROUND('10. Alimentazione CE Costi'!E585+'10. Alimentazione CE Costi'!E586,2)</f>
        <v>688014.9</v>
      </c>
      <c r="E357" s="69">
        <f>+ROUND('10. Alimentazione CE Costi'!F585+'10. Alimentazione CE Costi'!F586,2)</f>
        <v>598787.78</v>
      </c>
      <c r="F357" s="56"/>
      <c r="G357" s="196"/>
      <c r="H357" s="70"/>
      <c r="J357" s="66"/>
      <c r="L357" s="70"/>
    </row>
    <row r="358" spans="1:12" ht="18.75">
      <c r="A358" s="187"/>
      <c r="B358" s="93" t="s">
        <v>890</v>
      </c>
      <c r="C358" s="94" t="s">
        <v>1584</v>
      </c>
      <c r="D358" s="92">
        <f t="shared" ref="D358" si="112">+D359+D360</f>
        <v>2412063.89</v>
      </c>
      <c r="E358" s="92">
        <f t="shared" ref="E358" si="113">+E359+E360</f>
        <v>2584112.35</v>
      </c>
      <c r="F358" s="56" t="s">
        <v>1820</v>
      </c>
      <c r="G358" s="196"/>
      <c r="H358" s="70"/>
      <c r="J358" s="66"/>
      <c r="L358" s="70"/>
    </row>
    <row r="359" spans="1:12" ht="18.75">
      <c r="A359" s="187"/>
      <c r="B359" s="73" t="s">
        <v>892</v>
      </c>
      <c r="C359" s="74" t="s">
        <v>1585</v>
      </c>
      <c r="D359" s="69">
        <f>+ROUND('10. Alimentazione CE Costi'!E589,2)</f>
        <v>2357042.52</v>
      </c>
      <c r="E359" s="69">
        <f>+ROUND('10. Alimentazione CE Costi'!F589,2)</f>
        <v>2493682.6</v>
      </c>
      <c r="F359" s="56"/>
      <c r="G359" s="196"/>
      <c r="H359" s="70"/>
      <c r="J359" s="66"/>
      <c r="L359" s="70"/>
    </row>
    <row r="360" spans="1:12" ht="18.75">
      <c r="A360" s="187"/>
      <c r="B360" s="73" t="s">
        <v>893</v>
      </c>
      <c r="C360" s="74" t="s">
        <v>1586</v>
      </c>
      <c r="D360" s="69">
        <f>+ROUND('10. Alimentazione CE Costi'!E591+'10. Alimentazione CE Costi'!E592+'10. Alimentazione CE Costi'!E593+'10. Alimentazione CE Costi'!E594,2)</f>
        <v>55021.37</v>
      </c>
      <c r="E360" s="69">
        <f>+ROUND('10. Alimentazione CE Costi'!F591+'10. Alimentazione CE Costi'!F592+'10. Alimentazione CE Costi'!F593+'10. Alimentazione CE Costi'!F594,2)</f>
        <v>90429.75</v>
      </c>
      <c r="F360" s="56"/>
      <c r="G360" s="196"/>
      <c r="H360" s="70"/>
      <c r="J360" s="66"/>
      <c r="L360" s="70"/>
    </row>
    <row r="361" spans="1:12" ht="18.75">
      <c r="A361" s="187"/>
      <c r="B361" s="93" t="s">
        <v>898</v>
      </c>
      <c r="C361" s="94" t="s">
        <v>1587</v>
      </c>
      <c r="D361" s="92">
        <f t="shared" ref="D361" si="114">+D362+D363</f>
        <v>0</v>
      </c>
      <c r="E361" s="92">
        <f t="shared" ref="E361" si="115">+E362+E363</f>
        <v>0</v>
      </c>
      <c r="F361" s="56" t="s">
        <v>1820</v>
      </c>
      <c r="G361" s="196"/>
      <c r="H361" s="70"/>
      <c r="J361" s="66"/>
      <c r="L361" s="70"/>
    </row>
    <row r="362" spans="1:12" ht="18.75">
      <c r="A362" s="187"/>
      <c r="B362" s="73" t="s">
        <v>899</v>
      </c>
      <c r="C362" s="74" t="s">
        <v>1588</v>
      </c>
      <c r="D362" s="69">
        <f>+ROUND('10. Alimentazione CE Costi'!E597+'10. Alimentazione CE Costi'!E598,2)</f>
        <v>0</v>
      </c>
      <c r="E362" s="69">
        <f>+ROUND('10. Alimentazione CE Costi'!F597+'10. Alimentazione CE Costi'!F598,2)</f>
        <v>0</v>
      </c>
      <c r="F362" s="56"/>
      <c r="G362" s="196"/>
      <c r="H362" s="70"/>
      <c r="J362" s="66"/>
      <c r="L362" s="70"/>
    </row>
    <row r="363" spans="1:12" ht="18.75">
      <c r="A363" s="187"/>
      <c r="B363" s="73" t="s">
        <v>900</v>
      </c>
      <c r="C363" s="74" t="s">
        <v>1589</v>
      </c>
      <c r="D363" s="69">
        <f>+ROUND('10. Alimentazione CE Costi'!E600+'10. Alimentazione CE Costi'!E601,2)</f>
        <v>0</v>
      </c>
      <c r="E363" s="69">
        <f>+ROUND('10. Alimentazione CE Costi'!F600+'10. Alimentazione CE Costi'!F601,2)</f>
        <v>0</v>
      </c>
      <c r="F363" s="56"/>
      <c r="G363" s="196"/>
      <c r="H363" s="70"/>
      <c r="J363" s="66"/>
      <c r="L363" s="70"/>
    </row>
    <row r="364" spans="1:12" ht="18.75">
      <c r="A364" s="189"/>
      <c r="B364" s="71" t="s">
        <v>902</v>
      </c>
      <c r="C364" s="72" t="s">
        <v>1590</v>
      </c>
      <c r="D364" s="69">
        <f>+ROUND('10. Alimentazione CE Costi'!E603,2)</f>
        <v>0</v>
      </c>
      <c r="E364" s="69">
        <f>+ROUND('10. Alimentazione CE Costi'!F603,2)</f>
        <v>0</v>
      </c>
      <c r="F364" s="290"/>
      <c r="G364" s="196"/>
      <c r="H364" s="70"/>
      <c r="J364" s="66"/>
      <c r="L364" s="70"/>
    </row>
    <row r="365" spans="1:12" ht="25.5">
      <c r="A365" s="193" t="s">
        <v>1238</v>
      </c>
      <c r="B365" s="71" t="s">
        <v>904</v>
      </c>
      <c r="C365" s="72" t="s">
        <v>1591</v>
      </c>
      <c r="D365" s="69">
        <f>+ROUND('10. Alimentazione CE Costi'!E605,2)</f>
        <v>0</v>
      </c>
      <c r="E365" s="69">
        <f>+ROUND('10. Alimentazione CE Costi'!F605,2)</f>
        <v>0</v>
      </c>
      <c r="F365" s="290"/>
      <c r="G365" s="196"/>
      <c r="H365" s="70"/>
      <c r="J365" s="66"/>
      <c r="L365" s="70"/>
    </row>
    <row r="366" spans="1:12" ht="18.75">
      <c r="A366" s="187"/>
      <c r="B366" s="120" t="s">
        <v>1592</v>
      </c>
      <c r="C366" s="121" t="s">
        <v>1593</v>
      </c>
      <c r="D366" s="122">
        <f t="shared" ref="D366" si="116">+D367+D381+D390+D399</f>
        <v>10525335.449999999</v>
      </c>
      <c r="E366" s="122">
        <f t="shared" ref="E366" si="117">+E367+E381+E390+E399</f>
        <v>9520578.0099999998</v>
      </c>
      <c r="F366" s="56" t="s">
        <v>1820</v>
      </c>
      <c r="G366" s="196"/>
      <c r="H366" s="70"/>
      <c r="J366" s="666"/>
      <c r="L366" s="70"/>
    </row>
    <row r="367" spans="1:12" ht="18.75">
      <c r="A367" s="187"/>
      <c r="B367" s="98" t="s">
        <v>905</v>
      </c>
      <c r="C367" s="99" t="s">
        <v>1594</v>
      </c>
      <c r="D367" s="100">
        <f t="shared" ref="D367" si="118">+D368+D377</f>
        <v>3296485.6199999996</v>
      </c>
      <c r="E367" s="100">
        <f t="shared" ref="E367" si="119">+E368+E377</f>
        <v>3335716.94</v>
      </c>
      <c r="F367" s="56" t="s">
        <v>1820</v>
      </c>
      <c r="G367" s="196"/>
      <c r="H367" s="70"/>
      <c r="J367" s="66"/>
      <c r="L367" s="70"/>
    </row>
    <row r="368" spans="1:12" ht="18.75">
      <c r="A368" s="187"/>
      <c r="B368" s="93" t="s">
        <v>906</v>
      </c>
      <c r="C368" s="94" t="s">
        <v>1595</v>
      </c>
      <c r="D368" s="92">
        <f t="shared" ref="D368" si="120">+D369+D373</f>
        <v>1084609.29</v>
      </c>
      <c r="E368" s="92">
        <f t="shared" ref="E368" si="121">+E369+E373</f>
        <v>1012775.54</v>
      </c>
      <c r="F368" s="56" t="s">
        <v>1820</v>
      </c>
      <c r="G368" s="196"/>
      <c r="H368" s="70"/>
      <c r="J368" s="66"/>
      <c r="L368" s="70"/>
    </row>
    <row r="369" spans="1:12" ht="18.75">
      <c r="A369" s="187"/>
      <c r="B369" s="104" t="s">
        <v>907</v>
      </c>
      <c r="C369" s="105" t="s">
        <v>1596</v>
      </c>
      <c r="D369" s="106">
        <f t="shared" ref="D369" si="122">SUM(D370:D372)</f>
        <v>264175.46000000002</v>
      </c>
      <c r="E369" s="106">
        <f t="shared" ref="E369" si="123">SUM(E370:E372)</f>
        <v>227460.24</v>
      </c>
      <c r="F369" s="56" t="s">
        <v>1820</v>
      </c>
      <c r="G369" s="196"/>
      <c r="H369" s="70"/>
      <c r="J369" s="66"/>
      <c r="L369" s="70"/>
    </row>
    <row r="370" spans="1:12" ht="25.5">
      <c r="A370" s="187"/>
      <c r="B370" s="73" t="s">
        <v>908</v>
      </c>
      <c r="C370" s="74" t="s">
        <v>1597</v>
      </c>
      <c r="D370" s="69">
        <f>+ROUND(SUM('10. Alimentazione CE Costi'!E610:E617),2)</f>
        <v>264175.46000000002</v>
      </c>
      <c r="E370" s="69">
        <f>+ROUND(SUM('10. Alimentazione CE Costi'!F610:F617),2)</f>
        <v>227460.24</v>
      </c>
      <c r="F370" s="56"/>
      <c r="G370" s="196"/>
      <c r="H370" s="70"/>
      <c r="J370" s="66"/>
      <c r="L370" s="70"/>
    </row>
    <row r="371" spans="1:12" ht="25.5">
      <c r="A371" s="187"/>
      <c r="B371" s="73" t="s">
        <v>909</v>
      </c>
      <c r="C371" s="74" t="s">
        <v>1598</v>
      </c>
      <c r="D371" s="69">
        <f>+ROUND(SUM('10. Alimentazione CE Costi'!E619:E626),2)</f>
        <v>0</v>
      </c>
      <c r="E371" s="69">
        <f>+ROUND(SUM('10. Alimentazione CE Costi'!F619:F626),2)</f>
        <v>0</v>
      </c>
      <c r="F371" s="56"/>
      <c r="G371" s="196"/>
      <c r="H371" s="70"/>
      <c r="J371" s="66"/>
      <c r="L371" s="70"/>
    </row>
    <row r="372" spans="1:12" ht="18.75">
      <c r="A372" s="187"/>
      <c r="B372" s="73" t="s">
        <v>911</v>
      </c>
      <c r="C372" s="74" t="s">
        <v>1599</v>
      </c>
      <c r="D372" s="69">
        <f>+ROUND('10. Alimentazione CE Costi'!E628,2)</f>
        <v>0</v>
      </c>
      <c r="E372" s="69">
        <f>+ROUND('10. Alimentazione CE Costi'!F628,2)</f>
        <v>0</v>
      </c>
      <c r="F372" s="56"/>
      <c r="G372" s="196"/>
      <c r="H372" s="70"/>
      <c r="J372" s="66"/>
      <c r="L372" s="70"/>
    </row>
    <row r="373" spans="1:12" ht="18.75">
      <c r="A373" s="187"/>
      <c r="B373" s="104" t="s">
        <v>912</v>
      </c>
      <c r="C373" s="105" t="s">
        <v>1600</v>
      </c>
      <c r="D373" s="106">
        <f t="shared" ref="D373" si="124">SUM(D374:D376)</f>
        <v>820433.83000000007</v>
      </c>
      <c r="E373" s="106">
        <f t="shared" ref="E373" si="125">SUM(E374:E376)</f>
        <v>785315.3</v>
      </c>
      <c r="F373" s="56" t="s">
        <v>1820</v>
      </c>
      <c r="G373" s="196"/>
      <c r="H373" s="70"/>
      <c r="J373" s="66"/>
      <c r="L373" s="70"/>
    </row>
    <row r="374" spans="1:12" ht="25.5">
      <c r="A374" s="187"/>
      <c r="B374" s="73" t="s">
        <v>913</v>
      </c>
      <c r="C374" s="74" t="s">
        <v>1601</v>
      </c>
      <c r="D374" s="69">
        <f>+ROUND(SUM('10. Alimentazione CE Costi'!E631:E638),2)</f>
        <v>719028.31</v>
      </c>
      <c r="E374" s="69">
        <f>+ROUND(SUM('10. Alimentazione CE Costi'!F631:F638),2)</f>
        <v>676697.15</v>
      </c>
      <c r="F374" s="56"/>
      <c r="G374" s="196"/>
      <c r="H374" s="70"/>
      <c r="J374" s="66"/>
      <c r="L374" s="70"/>
    </row>
    <row r="375" spans="1:12" ht="25.5">
      <c r="A375" s="187"/>
      <c r="B375" s="73" t="s">
        <v>914</v>
      </c>
      <c r="C375" s="74" t="s">
        <v>1602</v>
      </c>
      <c r="D375" s="69">
        <f>+ROUND(SUM('10. Alimentazione CE Costi'!E640:E647),2)</f>
        <v>101405.52</v>
      </c>
      <c r="E375" s="69">
        <f>+ROUND(SUM('10. Alimentazione CE Costi'!F640:F647),2)</f>
        <v>108618.15</v>
      </c>
      <c r="F375" s="56"/>
      <c r="G375" s="196"/>
      <c r="H375" s="70"/>
      <c r="J375" s="66"/>
      <c r="L375" s="70"/>
    </row>
    <row r="376" spans="1:12" ht="18.75">
      <c r="A376" s="187"/>
      <c r="B376" s="73" t="s">
        <v>915</v>
      </c>
      <c r="C376" s="74" t="s">
        <v>1603</v>
      </c>
      <c r="D376" s="69">
        <f>+ROUND('10. Alimentazione CE Costi'!E649,2)</f>
        <v>0</v>
      </c>
      <c r="E376" s="69">
        <f>+ROUND('10. Alimentazione CE Costi'!F649,2)</f>
        <v>0</v>
      </c>
      <c r="F376" s="56"/>
      <c r="G376" s="196"/>
      <c r="H376" s="70"/>
      <c r="J376" s="66"/>
      <c r="L376" s="70"/>
    </row>
    <row r="377" spans="1:12" ht="18.75">
      <c r="A377" s="187"/>
      <c r="B377" s="118" t="s">
        <v>916</v>
      </c>
      <c r="C377" s="119" t="s">
        <v>1604</v>
      </c>
      <c r="D377" s="106">
        <f t="shared" ref="D377" si="126">SUM(D378:D380)</f>
        <v>2211876.3299999996</v>
      </c>
      <c r="E377" s="106">
        <f t="shared" ref="E377" si="127">SUM(E378:E380)</f>
        <v>2322941.4</v>
      </c>
      <c r="F377" s="56" t="s">
        <v>1820</v>
      </c>
      <c r="G377" s="196"/>
      <c r="H377" s="70"/>
      <c r="J377" s="66"/>
      <c r="L377" s="70"/>
    </row>
    <row r="378" spans="1:12" ht="25.5">
      <c r="A378" s="187"/>
      <c r="B378" s="73" t="s">
        <v>917</v>
      </c>
      <c r="C378" s="74" t="s">
        <v>1605</v>
      </c>
      <c r="D378" s="69">
        <f>+ROUND(SUM('10. Alimentazione CE Costi'!E652:E664),2)</f>
        <v>2193845.0499999998</v>
      </c>
      <c r="E378" s="69">
        <f>+ROUND(SUM('10. Alimentazione CE Costi'!F652:F664),2)</f>
        <v>2322941.4</v>
      </c>
      <c r="F378" s="56"/>
      <c r="G378" s="196"/>
      <c r="H378" s="70"/>
      <c r="J378" s="66"/>
      <c r="L378" s="70"/>
    </row>
    <row r="379" spans="1:12" ht="25.5">
      <c r="A379" s="187"/>
      <c r="B379" s="73" t="s">
        <v>918</v>
      </c>
      <c r="C379" s="74" t="s">
        <v>1606</v>
      </c>
      <c r="D379" s="69">
        <f>+ROUND(SUM('10. Alimentazione CE Costi'!E666:E707),2)</f>
        <v>18031.28</v>
      </c>
      <c r="E379" s="69">
        <f>+ROUND(SUM('10. Alimentazione CE Costi'!F666:F707),2)</f>
        <v>0</v>
      </c>
      <c r="F379" s="56"/>
      <c r="G379" s="196"/>
      <c r="H379" s="70"/>
      <c r="J379" s="66"/>
      <c r="L379" s="70"/>
    </row>
    <row r="380" spans="1:12" ht="18.75">
      <c r="A380" s="187"/>
      <c r="B380" s="73" t="s">
        <v>920</v>
      </c>
      <c r="C380" s="74" t="s">
        <v>1607</v>
      </c>
      <c r="D380" s="69">
        <f>+ROUND('10. Alimentazione CE Costi'!E709,2)</f>
        <v>0</v>
      </c>
      <c r="E380" s="69">
        <f>+ROUND('10. Alimentazione CE Costi'!F709,2)</f>
        <v>0</v>
      </c>
      <c r="F380" s="56"/>
      <c r="G380" s="196"/>
      <c r="H380" s="70"/>
      <c r="J380" s="66"/>
      <c r="L380" s="70"/>
    </row>
    <row r="381" spans="1:12" ht="18.75">
      <c r="A381" s="187"/>
      <c r="B381" s="98" t="s">
        <v>921</v>
      </c>
      <c r="C381" s="99" t="s">
        <v>1608</v>
      </c>
      <c r="D381" s="100">
        <f t="shared" ref="D381" si="128">+D382+D386</f>
        <v>543806.37</v>
      </c>
      <c r="E381" s="100">
        <f t="shared" ref="E381" si="129">+E382+E386</f>
        <v>489321.93</v>
      </c>
      <c r="F381" s="56" t="s">
        <v>1820</v>
      </c>
      <c r="G381" s="196"/>
      <c r="H381" s="70"/>
      <c r="J381" s="66"/>
      <c r="L381" s="70"/>
    </row>
    <row r="382" spans="1:12" ht="25.5">
      <c r="A382" s="187"/>
      <c r="B382" s="93" t="s">
        <v>922</v>
      </c>
      <c r="C382" s="94" t="s">
        <v>1609</v>
      </c>
      <c r="D382" s="92">
        <f t="shared" ref="D382" si="130">SUM(D383:D385)</f>
        <v>543806.37</v>
      </c>
      <c r="E382" s="92">
        <f t="shared" ref="E382" si="131">SUM(E383:E385)</f>
        <v>489321.93</v>
      </c>
      <c r="F382" s="56" t="s">
        <v>1820</v>
      </c>
      <c r="G382" s="196"/>
      <c r="H382" s="70"/>
      <c r="J382" s="66"/>
      <c r="L382" s="70"/>
    </row>
    <row r="383" spans="1:12" ht="25.5">
      <c r="A383" s="187"/>
      <c r="B383" s="73" t="s">
        <v>923</v>
      </c>
      <c r="C383" s="74" t="s">
        <v>1610</v>
      </c>
      <c r="D383" s="69">
        <f>+ROUND(SUM('10. Alimentazione CE Costi'!E713:E720),2)</f>
        <v>543806.37</v>
      </c>
      <c r="E383" s="69">
        <f>+ROUND(SUM('10. Alimentazione CE Costi'!F713:F720),2)</f>
        <v>489321.93</v>
      </c>
      <c r="F383" s="56"/>
      <c r="G383" s="196"/>
      <c r="H383" s="70"/>
      <c r="J383" s="66"/>
      <c r="L383" s="70"/>
    </row>
    <row r="384" spans="1:12" ht="25.5">
      <c r="A384" s="187"/>
      <c r="B384" s="73" t="s">
        <v>924</v>
      </c>
      <c r="C384" s="74" t="s">
        <v>1611</v>
      </c>
      <c r="D384" s="69">
        <f>+ROUND(SUM('10. Alimentazione CE Costi'!E722:E729),2)</f>
        <v>0</v>
      </c>
      <c r="E384" s="69">
        <f>+ROUND(SUM('10. Alimentazione CE Costi'!F722:F729),2)</f>
        <v>0</v>
      </c>
      <c r="F384" s="56"/>
      <c r="G384" s="196"/>
      <c r="H384" s="70"/>
      <c r="J384" s="66"/>
      <c r="L384" s="70"/>
    </row>
    <row r="385" spans="1:12" ht="25.5">
      <c r="A385" s="187"/>
      <c r="B385" s="73" t="s">
        <v>926</v>
      </c>
      <c r="C385" s="74" t="s">
        <v>1612</v>
      </c>
      <c r="D385" s="69">
        <f>+ROUND('10. Alimentazione CE Costi'!E731,2)</f>
        <v>0</v>
      </c>
      <c r="E385" s="69">
        <f>+ROUND('10. Alimentazione CE Costi'!F731,2)</f>
        <v>0</v>
      </c>
      <c r="F385" s="56"/>
      <c r="G385" s="196"/>
      <c r="H385" s="70"/>
      <c r="J385" s="66"/>
      <c r="L385" s="70"/>
    </row>
    <row r="386" spans="1:12" ht="25.5">
      <c r="A386" s="187"/>
      <c r="B386" s="93" t="s">
        <v>927</v>
      </c>
      <c r="C386" s="94" t="s">
        <v>1613</v>
      </c>
      <c r="D386" s="92">
        <f t="shared" ref="D386" si="132">SUM(D387:D389)</f>
        <v>0</v>
      </c>
      <c r="E386" s="92">
        <f t="shared" ref="E386" si="133">SUM(E387:E389)</f>
        <v>0</v>
      </c>
      <c r="F386" s="56" t="s">
        <v>1820</v>
      </c>
      <c r="G386" s="196"/>
      <c r="H386" s="70"/>
      <c r="J386" s="66"/>
      <c r="L386" s="70"/>
    </row>
    <row r="387" spans="1:12" ht="25.5">
      <c r="A387" s="187"/>
      <c r="B387" s="73" t="s">
        <v>928</v>
      </c>
      <c r="C387" s="74" t="s">
        <v>1614</v>
      </c>
      <c r="D387" s="69">
        <f>+ROUND(SUM('10. Alimentazione CE Costi'!E734:E746),2)</f>
        <v>0</v>
      </c>
      <c r="E387" s="69">
        <f>+ROUND(SUM('10. Alimentazione CE Costi'!F734:F746),2)</f>
        <v>0</v>
      </c>
      <c r="F387" s="56"/>
      <c r="G387" s="196"/>
      <c r="H387" s="70"/>
      <c r="J387" s="66"/>
      <c r="L387" s="70"/>
    </row>
    <row r="388" spans="1:12" ht="25.5">
      <c r="A388" s="187"/>
      <c r="B388" s="73" t="s">
        <v>929</v>
      </c>
      <c r="C388" s="74" t="s">
        <v>1615</v>
      </c>
      <c r="D388" s="69">
        <f>+ROUND(SUM('10. Alimentazione CE Costi'!E748:E760),2)</f>
        <v>0</v>
      </c>
      <c r="E388" s="69">
        <f>+ROUND(SUM('10. Alimentazione CE Costi'!F748:F760),2)</f>
        <v>0</v>
      </c>
      <c r="F388" s="56"/>
      <c r="G388" s="196"/>
      <c r="H388" s="70"/>
      <c r="J388" s="66"/>
      <c r="L388" s="70"/>
    </row>
    <row r="389" spans="1:12" ht="25.5">
      <c r="A389" s="187"/>
      <c r="B389" s="73" t="s">
        <v>931</v>
      </c>
      <c r="C389" s="74" t="s">
        <v>1616</v>
      </c>
      <c r="D389" s="69">
        <f>+ROUND('10. Alimentazione CE Costi'!E762,2)</f>
        <v>0</v>
      </c>
      <c r="E389" s="69">
        <f>+ROUND('10. Alimentazione CE Costi'!F762,2)</f>
        <v>0</v>
      </c>
      <c r="F389" s="56"/>
      <c r="G389" s="196"/>
      <c r="H389" s="70"/>
      <c r="J389" s="66"/>
      <c r="L389" s="70"/>
    </row>
    <row r="390" spans="1:12" ht="18.75">
      <c r="A390" s="187"/>
      <c r="B390" s="98" t="s">
        <v>932</v>
      </c>
      <c r="C390" s="99" t="s">
        <v>1617</v>
      </c>
      <c r="D390" s="100">
        <f t="shared" ref="D390" si="134">+D391+D395</f>
        <v>742622.14999999991</v>
      </c>
      <c r="E390" s="100">
        <f t="shared" ref="E390" si="135">+E391+E395</f>
        <v>684663</v>
      </c>
      <c r="F390" s="56" t="s">
        <v>1820</v>
      </c>
      <c r="G390" s="196"/>
      <c r="H390" s="70"/>
      <c r="J390" s="66"/>
      <c r="L390" s="70"/>
    </row>
    <row r="391" spans="1:12" ht="18.75">
      <c r="A391" s="187"/>
      <c r="B391" s="93" t="s">
        <v>933</v>
      </c>
      <c r="C391" s="94" t="s">
        <v>1618</v>
      </c>
      <c r="D391" s="92">
        <f t="shared" ref="D391" si="136">SUM(D392:D394)</f>
        <v>296055.65999999997</v>
      </c>
      <c r="E391" s="92">
        <f t="shared" ref="E391" si="137">SUM(E392:E394)</f>
        <v>279932.64</v>
      </c>
      <c r="F391" s="56" t="s">
        <v>1820</v>
      </c>
      <c r="G391" s="196"/>
      <c r="H391" s="70"/>
      <c r="J391" s="66"/>
      <c r="L391" s="70"/>
    </row>
    <row r="392" spans="1:12" ht="25.5">
      <c r="A392" s="187"/>
      <c r="B392" s="73" t="s">
        <v>934</v>
      </c>
      <c r="C392" s="74" t="s">
        <v>1619</v>
      </c>
      <c r="D392" s="69">
        <f>+ROUND(SUM('10. Alimentazione CE Costi'!E766:E773),2)</f>
        <v>296055.65999999997</v>
      </c>
      <c r="E392" s="69">
        <f>+ROUND(SUM('10. Alimentazione CE Costi'!F766:F773),2)</f>
        <v>235291.2</v>
      </c>
      <c r="F392" s="56"/>
      <c r="G392" s="196"/>
      <c r="H392" s="70"/>
      <c r="J392" s="66"/>
      <c r="L392" s="70"/>
    </row>
    <row r="393" spans="1:12" ht="25.5">
      <c r="A393" s="187"/>
      <c r="B393" s="73" t="s">
        <v>935</v>
      </c>
      <c r="C393" s="74" t="s">
        <v>1620</v>
      </c>
      <c r="D393" s="69">
        <f>+ROUND(SUM('10. Alimentazione CE Costi'!E775:E782),2)</f>
        <v>0</v>
      </c>
      <c r="E393" s="69">
        <f>+ROUND(SUM('10. Alimentazione CE Costi'!F775:F782),2)</f>
        <v>44641.440000000002</v>
      </c>
      <c r="F393" s="56"/>
      <c r="G393" s="196"/>
      <c r="H393" s="70"/>
      <c r="J393" s="66"/>
      <c r="L393" s="70"/>
    </row>
    <row r="394" spans="1:12" ht="18.75">
      <c r="A394" s="187"/>
      <c r="B394" s="73" t="s">
        <v>937</v>
      </c>
      <c r="C394" s="74" t="s">
        <v>1621</v>
      </c>
      <c r="D394" s="69">
        <f>+ROUND('10. Alimentazione CE Costi'!E784,2)</f>
        <v>0</v>
      </c>
      <c r="E394" s="69">
        <f>+ROUND('10. Alimentazione CE Costi'!F784,2)</f>
        <v>0</v>
      </c>
      <c r="F394" s="56"/>
      <c r="G394" s="196"/>
      <c r="H394" s="70"/>
      <c r="J394" s="66"/>
      <c r="L394" s="70"/>
    </row>
    <row r="395" spans="1:12" ht="18.75">
      <c r="A395" s="187"/>
      <c r="B395" s="93" t="s">
        <v>938</v>
      </c>
      <c r="C395" s="94" t="s">
        <v>1622</v>
      </c>
      <c r="D395" s="92">
        <f t="shared" ref="D395" si="138">SUM(D396:D398)</f>
        <v>446566.49</v>
      </c>
      <c r="E395" s="92">
        <f t="shared" ref="E395" si="139">SUM(E396:E398)</f>
        <v>404730.36</v>
      </c>
      <c r="F395" s="56" t="s">
        <v>1820</v>
      </c>
      <c r="G395" s="196"/>
      <c r="H395" s="70"/>
      <c r="J395" s="66"/>
      <c r="L395" s="70"/>
    </row>
    <row r="396" spans="1:12" ht="25.5">
      <c r="A396" s="187"/>
      <c r="B396" s="73" t="s">
        <v>939</v>
      </c>
      <c r="C396" s="74" t="s">
        <v>1623</v>
      </c>
      <c r="D396" s="69">
        <f>+ROUND(SUM('10. Alimentazione CE Costi'!E787:E814),2)</f>
        <v>446566.49</v>
      </c>
      <c r="E396" s="69">
        <f>+ROUND(SUM('10. Alimentazione CE Costi'!F787:F814),2)</f>
        <v>404730.36</v>
      </c>
      <c r="F396" s="56"/>
      <c r="G396" s="196"/>
      <c r="H396" s="70"/>
      <c r="J396" s="66"/>
      <c r="L396" s="70"/>
    </row>
    <row r="397" spans="1:12" ht="25.5">
      <c r="A397" s="187"/>
      <c r="B397" s="73" t="s">
        <v>940</v>
      </c>
      <c r="C397" s="74" t="s">
        <v>1624</v>
      </c>
      <c r="D397" s="69">
        <f>+ROUND(SUM('10. Alimentazione CE Costi'!E816:E843),2)</f>
        <v>0</v>
      </c>
      <c r="E397" s="69">
        <f>+ROUND(SUM('10. Alimentazione CE Costi'!F816:F843),2)</f>
        <v>0</v>
      </c>
      <c r="F397" s="56"/>
      <c r="G397" s="196"/>
      <c r="H397" s="70"/>
      <c r="J397" s="66"/>
      <c r="L397" s="70"/>
    </row>
    <row r="398" spans="1:12" ht="18.75">
      <c r="A398" s="187"/>
      <c r="B398" s="73" t="s">
        <v>942</v>
      </c>
      <c r="C398" s="74" t="s">
        <v>1625</v>
      </c>
      <c r="D398" s="69">
        <f>+ROUND('10. Alimentazione CE Costi'!E845,2)</f>
        <v>0</v>
      </c>
      <c r="E398" s="69">
        <f>+ROUND('10. Alimentazione CE Costi'!F845,2)</f>
        <v>0</v>
      </c>
      <c r="F398" s="56"/>
      <c r="G398" s="196"/>
      <c r="H398" s="70"/>
      <c r="J398" s="66"/>
      <c r="L398" s="70"/>
    </row>
    <row r="399" spans="1:12" ht="18.75">
      <c r="A399" s="187"/>
      <c r="B399" s="98" t="s">
        <v>943</v>
      </c>
      <c r="C399" s="99" t="s">
        <v>1626</v>
      </c>
      <c r="D399" s="100">
        <f t="shared" ref="D399" si="140">+D400+D404</f>
        <v>5942421.3100000005</v>
      </c>
      <c r="E399" s="100">
        <f t="shared" ref="E399" si="141">+E400+E404</f>
        <v>5010876.1399999997</v>
      </c>
      <c r="F399" s="56" t="s">
        <v>1820</v>
      </c>
      <c r="G399" s="196"/>
      <c r="H399" s="70"/>
      <c r="J399" s="66"/>
      <c r="L399" s="70"/>
    </row>
    <row r="400" spans="1:12" ht="25.5">
      <c r="A400" s="187"/>
      <c r="B400" s="93" t="s">
        <v>944</v>
      </c>
      <c r="C400" s="94" t="s">
        <v>1627</v>
      </c>
      <c r="D400" s="92">
        <f t="shared" ref="D400" si="142">SUM(D401:D403)</f>
        <v>1692578.2400000002</v>
      </c>
      <c r="E400" s="92">
        <f t="shared" ref="E400" si="143">SUM(E401:E403)</f>
        <v>1639570.53</v>
      </c>
      <c r="F400" s="56" t="s">
        <v>1820</v>
      </c>
      <c r="G400" s="196"/>
      <c r="H400" s="70"/>
      <c r="J400" s="66"/>
      <c r="L400" s="70"/>
    </row>
    <row r="401" spans="1:12" ht="25.5">
      <c r="A401" s="187"/>
      <c r="B401" s="73" t="s">
        <v>945</v>
      </c>
      <c r="C401" s="74" t="s">
        <v>1628</v>
      </c>
      <c r="D401" s="69">
        <f>+ROUND(SUM('10. Alimentazione CE Costi'!E849:E856),2)</f>
        <v>1570264.37</v>
      </c>
      <c r="E401" s="69">
        <f>+ROUND(SUM('10. Alimentazione CE Costi'!F849:F856),2)</f>
        <v>1417154.53</v>
      </c>
      <c r="F401" s="56"/>
      <c r="G401" s="196"/>
      <c r="H401" s="70"/>
      <c r="J401" s="66"/>
      <c r="L401" s="70"/>
    </row>
    <row r="402" spans="1:12" ht="25.5">
      <c r="A402" s="187"/>
      <c r="B402" s="73" t="s">
        <v>946</v>
      </c>
      <c r="C402" s="74" t="s">
        <v>1629</v>
      </c>
      <c r="D402" s="69">
        <f>+ROUND(SUM('10. Alimentazione CE Costi'!E858:E865),2)</f>
        <v>122313.87</v>
      </c>
      <c r="E402" s="69">
        <f>+ROUND(SUM('10. Alimentazione CE Costi'!F858:F865),2)</f>
        <v>222416</v>
      </c>
      <c r="F402" s="56"/>
      <c r="G402" s="196"/>
      <c r="H402" s="70"/>
      <c r="J402" s="66"/>
      <c r="L402" s="70"/>
    </row>
    <row r="403" spans="1:12" ht="25.5">
      <c r="A403" s="187"/>
      <c r="B403" s="73" t="s">
        <v>948</v>
      </c>
      <c r="C403" s="74" t="s">
        <v>1630</v>
      </c>
      <c r="D403" s="69">
        <f>+ROUND('10. Alimentazione CE Costi'!E867,2)</f>
        <v>0</v>
      </c>
      <c r="E403" s="69">
        <f>+ROUND('10. Alimentazione CE Costi'!F867,2)</f>
        <v>0</v>
      </c>
      <c r="F403" s="56"/>
      <c r="G403" s="196"/>
      <c r="H403" s="70"/>
      <c r="J403" s="66"/>
      <c r="L403" s="70"/>
    </row>
    <row r="404" spans="1:12" ht="25.5">
      <c r="A404" s="187"/>
      <c r="B404" s="93" t="s">
        <v>949</v>
      </c>
      <c r="C404" s="94" t="s">
        <v>1631</v>
      </c>
      <c r="D404" s="92">
        <f t="shared" ref="D404" si="144">SUM(D405:D407)</f>
        <v>4249843.07</v>
      </c>
      <c r="E404" s="92">
        <f t="shared" ref="E404" si="145">SUM(E405:E407)</f>
        <v>3371305.61</v>
      </c>
      <c r="F404" s="56" t="s">
        <v>1820</v>
      </c>
      <c r="G404" s="196"/>
      <c r="H404" s="70"/>
      <c r="J404" s="66"/>
      <c r="L404" s="70"/>
    </row>
    <row r="405" spans="1:12" ht="25.5">
      <c r="A405" s="187"/>
      <c r="B405" s="73" t="s">
        <v>950</v>
      </c>
      <c r="C405" s="74" t="s">
        <v>1632</v>
      </c>
      <c r="D405" s="69">
        <f>+ROUND(SUM('10. Alimentazione CE Costi'!E870:E882),2)</f>
        <v>3613804.93</v>
      </c>
      <c r="E405" s="69">
        <f>+ROUND(SUM('10. Alimentazione CE Costi'!F870:F882),2)</f>
        <v>3181900.56</v>
      </c>
      <c r="F405" s="56"/>
      <c r="G405" s="196"/>
      <c r="H405" s="70"/>
      <c r="J405" s="66"/>
      <c r="L405" s="70"/>
    </row>
    <row r="406" spans="1:12" ht="25.5">
      <c r="A406" s="187"/>
      <c r="B406" s="73" t="s">
        <v>951</v>
      </c>
      <c r="C406" s="74" t="s">
        <v>1633</v>
      </c>
      <c r="D406" s="69">
        <f>+ROUND(SUM('10. Alimentazione CE Costi'!E884:E896),2)</f>
        <v>636038.14</v>
      </c>
      <c r="E406" s="69">
        <f>+ROUND(SUM('10. Alimentazione CE Costi'!F884:F896),2)</f>
        <v>189405.05</v>
      </c>
      <c r="F406" s="56"/>
      <c r="G406" s="196"/>
      <c r="H406" s="70"/>
      <c r="J406" s="66"/>
      <c r="L406" s="70"/>
    </row>
    <row r="407" spans="1:12" ht="25.5">
      <c r="A407" s="187"/>
      <c r="B407" s="73" t="s">
        <v>953</v>
      </c>
      <c r="C407" s="74" t="s">
        <v>1634</v>
      </c>
      <c r="D407" s="69">
        <f>+ROUND('10. Alimentazione CE Costi'!E898,2)</f>
        <v>0</v>
      </c>
      <c r="E407" s="69">
        <f>+ROUND('10. Alimentazione CE Costi'!F898,2)</f>
        <v>0</v>
      </c>
      <c r="F407" s="56"/>
      <c r="G407" s="196"/>
      <c r="H407" s="70"/>
      <c r="J407" s="66"/>
      <c r="L407" s="70"/>
    </row>
    <row r="408" spans="1:12" ht="18.75">
      <c r="A408" s="187"/>
      <c r="B408" s="98" t="s">
        <v>954</v>
      </c>
      <c r="C408" s="99" t="s">
        <v>1635</v>
      </c>
      <c r="D408" s="100">
        <f t="shared" ref="D408" si="146">+D409+D410+D411</f>
        <v>942069.08000000007</v>
      </c>
      <c r="E408" s="100">
        <f t="shared" ref="E408" si="147">+E409+E410+E411</f>
        <v>780302.49</v>
      </c>
      <c r="F408" s="56" t="s">
        <v>1820</v>
      </c>
      <c r="G408" s="196"/>
      <c r="H408" s="70"/>
      <c r="J408" s="66"/>
      <c r="L408" s="70"/>
    </row>
    <row r="409" spans="1:12" ht="18.75">
      <c r="A409" s="187"/>
      <c r="B409" s="71" t="s">
        <v>955</v>
      </c>
      <c r="C409" s="72" t="s">
        <v>1636</v>
      </c>
      <c r="D409" s="79">
        <f>+ROUND(SUM('10. Alimentazione CE Costi'!E901:E907),2)</f>
        <v>66485.649999999994</v>
      </c>
      <c r="E409" s="79">
        <f>+ROUND(SUM('10. Alimentazione CE Costi'!F901:F907),2)</f>
        <v>53277.41</v>
      </c>
      <c r="F409" s="56"/>
      <c r="G409" s="196"/>
      <c r="H409" s="70"/>
      <c r="J409" s="66"/>
      <c r="L409" s="70"/>
    </row>
    <row r="410" spans="1:12" ht="18.75">
      <c r="A410" s="187"/>
      <c r="B410" s="71" t="s">
        <v>964</v>
      </c>
      <c r="C410" s="72" t="s">
        <v>1637</v>
      </c>
      <c r="D410" s="79">
        <f>+ROUND('10. Alimentazione CE Costi'!E909,2)</f>
        <v>0</v>
      </c>
      <c r="E410" s="79">
        <f>+ROUND('10. Alimentazione CE Costi'!F909,2)</f>
        <v>0</v>
      </c>
      <c r="F410" s="56"/>
      <c r="G410" s="196"/>
      <c r="H410" s="70"/>
      <c r="J410" s="66"/>
      <c r="L410" s="70"/>
    </row>
    <row r="411" spans="1:12" ht="18.75">
      <c r="A411" s="187"/>
      <c r="B411" s="93" t="s">
        <v>966</v>
      </c>
      <c r="C411" s="94" t="s">
        <v>1638</v>
      </c>
      <c r="D411" s="92">
        <f t="shared" ref="D411" si="148">+D412+D413+D414+D415</f>
        <v>875583.43</v>
      </c>
      <c r="E411" s="92">
        <f t="shared" ref="E411" si="149">+E412+E413+E414+E415</f>
        <v>727025.08</v>
      </c>
      <c r="F411" s="56" t="s">
        <v>1820</v>
      </c>
      <c r="G411" s="196"/>
      <c r="H411" s="70"/>
      <c r="J411" s="66"/>
      <c r="L411" s="70"/>
    </row>
    <row r="412" spans="1:12" ht="25.5">
      <c r="A412" s="187"/>
      <c r="B412" s="73" t="s">
        <v>967</v>
      </c>
      <c r="C412" s="74" t="s">
        <v>1639</v>
      </c>
      <c r="D412" s="69">
        <f>+ROUND(SUM('10. Alimentazione CE Costi'!E913:E923),2)</f>
        <v>875151.37</v>
      </c>
      <c r="E412" s="69">
        <f>+ROUND(SUM('10. Alimentazione CE Costi'!F913:F923),2)</f>
        <v>726909.08</v>
      </c>
      <c r="F412" s="56"/>
      <c r="G412" s="196"/>
      <c r="H412" s="70"/>
      <c r="J412" s="66"/>
      <c r="L412" s="70"/>
    </row>
    <row r="413" spans="1:12" ht="18.75">
      <c r="A413" s="187"/>
      <c r="B413" s="73" t="s">
        <v>974</v>
      </c>
      <c r="C413" s="74" t="s">
        <v>1640</v>
      </c>
      <c r="D413" s="69">
        <f>+ROUND('10. Alimentazione CE Costi'!E925+'10. Alimentazione CE Costi'!E926+'10. Alimentazione CE Costi'!E927,2)</f>
        <v>432.06</v>
      </c>
      <c r="E413" s="69">
        <f>+ROUND('10. Alimentazione CE Costi'!F925+'10. Alimentazione CE Costi'!F926+'10. Alimentazione CE Costi'!F927,2)</f>
        <v>116</v>
      </c>
      <c r="F413" s="56"/>
      <c r="G413" s="196"/>
      <c r="H413" s="70"/>
      <c r="J413" s="66"/>
      <c r="L413" s="70"/>
    </row>
    <row r="414" spans="1:12" ht="25.5">
      <c r="A414" s="187" t="s">
        <v>1238</v>
      </c>
      <c r="B414" s="73" t="s">
        <v>978</v>
      </c>
      <c r="C414" s="74" t="s">
        <v>1641</v>
      </c>
      <c r="D414" s="69">
        <f>+ROUND('10. Alimentazione CE Costi'!E929,2)</f>
        <v>0</v>
      </c>
      <c r="E414" s="69">
        <f>+ROUND('10. Alimentazione CE Costi'!F929,2)</f>
        <v>0</v>
      </c>
      <c r="F414" s="56"/>
      <c r="G414" s="196"/>
      <c r="H414" s="70"/>
      <c r="J414" s="66"/>
      <c r="L414" s="70"/>
    </row>
    <row r="415" spans="1:12" ht="25.5">
      <c r="A415" s="187"/>
      <c r="B415" s="73" t="s">
        <v>980</v>
      </c>
      <c r="C415" s="74" t="s">
        <v>1642</v>
      </c>
      <c r="D415" s="69">
        <f>+ROUND('10. Alimentazione CE Costi'!E931,2)</f>
        <v>0</v>
      </c>
      <c r="E415" s="69">
        <f>+ROUND('10. Alimentazione CE Costi'!F931,2)</f>
        <v>0</v>
      </c>
      <c r="F415" s="56"/>
      <c r="G415" s="196"/>
      <c r="H415" s="70"/>
      <c r="J415" s="66"/>
      <c r="L415" s="70"/>
    </row>
    <row r="416" spans="1:12" ht="18.75">
      <c r="A416" s="187"/>
      <c r="B416" s="123" t="s">
        <v>1643</v>
      </c>
      <c r="C416" s="124" t="s">
        <v>1644</v>
      </c>
      <c r="D416" s="113">
        <f t="shared" ref="D416" si="150">+D417+D418</f>
        <v>165261.28</v>
      </c>
      <c r="E416" s="113">
        <f t="shared" ref="E416" si="151">+E417+E418</f>
        <v>210268.94</v>
      </c>
      <c r="F416" s="56" t="s">
        <v>1820</v>
      </c>
      <c r="G416" s="196"/>
      <c r="H416" s="70"/>
      <c r="J416" s="66"/>
      <c r="L416" s="70"/>
    </row>
    <row r="417" spans="1:12" ht="18.75">
      <c r="A417" s="187"/>
      <c r="B417" s="67" t="s">
        <v>981</v>
      </c>
      <c r="C417" s="68" t="s">
        <v>1645</v>
      </c>
      <c r="D417" s="69">
        <f>+ROUND(SUM('10. Alimentazione CE Costi'!E933:E940),2)</f>
        <v>3904.91</v>
      </c>
      <c r="E417" s="69">
        <f>+ROUND(SUM('10. Alimentazione CE Costi'!F933:F940),2)</f>
        <v>6079.98</v>
      </c>
      <c r="F417" s="56"/>
      <c r="G417" s="196"/>
      <c r="H417" s="70"/>
      <c r="J417" s="66"/>
      <c r="L417" s="70"/>
    </row>
    <row r="418" spans="1:12" ht="18.75">
      <c r="A418" s="187"/>
      <c r="B418" s="98" t="s">
        <v>989</v>
      </c>
      <c r="C418" s="99" t="s">
        <v>1646</v>
      </c>
      <c r="D418" s="100">
        <f t="shared" ref="D418" si="152">+D419+D422</f>
        <v>161356.37</v>
      </c>
      <c r="E418" s="100">
        <f t="shared" ref="E418" si="153">+E419+E422</f>
        <v>204188.96</v>
      </c>
      <c r="F418" s="56" t="s">
        <v>1820</v>
      </c>
      <c r="G418" s="196"/>
      <c r="H418" s="70"/>
      <c r="J418" s="66"/>
      <c r="L418" s="70"/>
    </row>
    <row r="419" spans="1:12" ht="18.75">
      <c r="A419" s="189"/>
      <c r="B419" s="93" t="s">
        <v>990</v>
      </c>
      <c r="C419" s="94" t="s">
        <v>1647</v>
      </c>
      <c r="D419" s="92">
        <f t="shared" ref="D419" si="154">+D420+D421</f>
        <v>0</v>
      </c>
      <c r="E419" s="92">
        <f t="shared" ref="E419" si="155">+E420+E421</f>
        <v>0</v>
      </c>
      <c r="F419" s="56" t="s">
        <v>1820</v>
      </c>
      <c r="G419" s="196"/>
      <c r="H419" s="70"/>
      <c r="J419" s="66"/>
      <c r="L419" s="70"/>
    </row>
    <row r="420" spans="1:12" ht="25.5">
      <c r="A420" s="189"/>
      <c r="B420" s="73" t="s">
        <v>992</v>
      </c>
      <c r="C420" s="74" t="s">
        <v>1648</v>
      </c>
      <c r="D420" s="69">
        <f>+ROUND('10. Alimentazione CE Costi'!E944,2)</f>
        <v>0</v>
      </c>
      <c r="E420" s="69">
        <f>+ROUND('10. Alimentazione CE Costi'!F944,2)</f>
        <v>0</v>
      </c>
      <c r="F420" s="290"/>
      <c r="G420" s="196"/>
      <c r="H420" s="70"/>
      <c r="J420" s="66"/>
      <c r="L420" s="70"/>
    </row>
    <row r="421" spans="1:12" ht="25.5">
      <c r="A421" s="189"/>
      <c r="B421" s="73" t="s">
        <v>994</v>
      </c>
      <c r="C421" s="74" t="s">
        <v>1649</v>
      </c>
      <c r="D421" s="69">
        <f>+ROUND('10. Alimentazione CE Costi'!E946,2)</f>
        <v>0</v>
      </c>
      <c r="E421" s="69">
        <f>+ROUND('10. Alimentazione CE Costi'!F946,2)</f>
        <v>0</v>
      </c>
      <c r="F421" s="290"/>
      <c r="G421" s="196"/>
      <c r="H421" s="70"/>
      <c r="J421" s="66"/>
      <c r="L421" s="70"/>
    </row>
    <row r="422" spans="1:12" ht="25.5">
      <c r="A422" s="189"/>
      <c r="B422" s="67" t="s">
        <v>995</v>
      </c>
      <c r="C422" s="68" t="s">
        <v>1650</v>
      </c>
      <c r="D422" s="69">
        <f>+ROUND(SUM('10. Alimentazione CE Costi'!E948:E952),2)</f>
        <v>161356.37</v>
      </c>
      <c r="E422" s="69">
        <f>+ROUND(SUM('10. Alimentazione CE Costi'!F948:F952),2)</f>
        <v>204188.96</v>
      </c>
      <c r="F422" s="290"/>
      <c r="G422" s="196"/>
      <c r="H422" s="70"/>
      <c r="J422" s="66"/>
      <c r="L422" s="70"/>
    </row>
    <row r="423" spans="1:12" ht="18.75">
      <c r="A423" s="189"/>
      <c r="B423" s="98" t="s">
        <v>1001</v>
      </c>
      <c r="C423" s="99" t="s">
        <v>1651</v>
      </c>
      <c r="D423" s="100">
        <f t="shared" ref="D423" si="156">+D424+D425</f>
        <v>0</v>
      </c>
      <c r="E423" s="100">
        <f t="shared" ref="E423" si="157">+E424+E425</f>
        <v>31638.35</v>
      </c>
      <c r="F423" s="56" t="s">
        <v>1820</v>
      </c>
      <c r="G423" s="196"/>
      <c r="H423" s="70"/>
      <c r="J423" s="66"/>
      <c r="L423" s="70"/>
    </row>
    <row r="424" spans="1:12" ht="25.5">
      <c r="A424" s="189"/>
      <c r="B424" s="71" t="s">
        <v>1002</v>
      </c>
      <c r="C424" s="72" t="s">
        <v>1652</v>
      </c>
      <c r="D424" s="79">
        <f>+ROUND(SUM('10. Alimentazione CE Costi'!E956:E970),2)</f>
        <v>0</v>
      </c>
      <c r="E424" s="79">
        <f>+ROUND(SUM('10. Alimentazione CE Costi'!F956:F970),2)</f>
        <v>0</v>
      </c>
      <c r="F424" s="290"/>
      <c r="G424" s="196"/>
      <c r="H424" s="70"/>
      <c r="J424" s="66"/>
      <c r="L424" s="70"/>
    </row>
    <row r="425" spans="1:12" ht="18.75">
      <c r="A425" s="189"/>
      <c r="B425" s="71" t="s">
        <v>1018</v>
      </c>
      <c r="C425" s="72" t="s">
        <v>1653</v>
      </c>
      <c r="D425" s="69">
        <f>+ROUND(SUM('10. Alimentazione CE Costi'!E972:E1014),2)</f>
        <v>0</v>
      </c>
      <c r="E425" s="69">
        <f>+ROUND(SUM('10. Alimentazione CE Costi'!F972:F1014),2)</f>
        <v>31638.35</v>
      </c>
      <c r="F425" s="290"/>
      <c r="G425" s="196"/>
      <c r="H425" s="70"/>
      <c r="J425" s="66"/>
      <c r="L425" s="70"/>
    </row>
    <row r="426" spans="1:12" ht="18.75">
      <c r="A426" s="189"/>
      <c r="B426" s="98" t="s">
        <v>1061</v>
      </c>
      <c r="C426" s="99" t="s">
        <v>1654</v>
      </c>
      <c r="D426" s="100">
        <f t="shared" ref="D426" si="158">+D427+D436</f>
        <v>-12369420.739999998</v>
      </c>
      <c r="E426" s="100">
        <f t="shared" ref="E426" si="159">+E427+E436</f>
        <v>11419959.649999999</v>
      </c>
      <c r="F426" s="56" t="s">
        <v>1820</v>
      </c>
      <c r="G426" s="196"/>
      <c r="H426" s="70"/>
      <c r="J426" s="66"/>
      <c r="L426" s="70"/>
    </row>
    <row r="427" spans="1:12" ht="18.75">
      <c r="A427" s="189"/>
      <c r="B427" s="93" t="s">
        <v>1062</v>
      </c>
      <c r="C427" s="94" t="s">
        <v>1655</v>
      </c>
      <c r="D427" s="92">
        <f t="shared" ref="D427" si="160">SUM(D428:D435)</f>
        <v>-12775531.369999999</v>
      </c>
      <c r="E427" s="92">
        <f t="shared" ref="E427" si="161">SUM(E428:E435)</f>
        <v>9397006.6799999978</v>
      </c>
      <c r="F427" s="56" t="s">
        <v>1820</v>
      </c>
      <c r="G427" s="196"/>
      <c r="H427" s="70"/>
      <c r="J427" s="66"/>
      <c r="L427" s="70"/>
    </row>
    <row r="428" spans="1:12" ht="18.75">
      <c r="A428" s="189"/>
      <c r="B428" s="73" t="s">
        <v>1063</v>
      </c>
      <c r="C428" s="74" t="s">
        <v>1656</v>
      </c>
      <c r="D428" s="69">
        <f>+ROUND('10. Alimentazione CE Costi'!E1018,2)</f>
        <v>-10893715.439999999</v>
      </c>
      <c r="E428" s="69">
        <f>+ROUND('10. Alimentazione CE Costi'!F1018,2)</f>
        <v>7166264.3300000001</v>
      </c>
      <c r="F428" s="290"/>
      <c r="G428" s="196"/>
      <c r="H428" s="70"/>
      <c r="J428" s="66"/>
      <c r="L428" s="70"/>
    </row>
    <row r="429" spans="1:12" ht="18.75">
      <c r="A429" s="189"/>
      <c r="B429" s="73" t="s">
        <v>1064</v>
      </c>
      <c r="C429" s="74" t="s">
        <v>1657</v>
      </c>
      <c r="D429" s="69">
        <f>+ROUND('10. Alimentazione CE Costi'!E1020,2)</f>
        <v>0</v>
      </c>
      <c r="E429" s="69">
        <f>+ROUND('10. Alimentazione CE Costi'!F1020,2)</f>
        <v>0</v>
      </c>
      <c r="F429" s="290"/>
      <c r="G429" s="196"/>
      <c r="H429" s="70"/>
      <c r="J429" s="66"/>
      <c r="L429" s="70"/>
    </row>
    <row r="430" spans="1:12" ht="18.75">
      <c r="A430" s="189"/>
      <c r="B430" s="73" t="s">
        <v>1065</v>
      </c>
      <c r="C430" s="74" t="s">
        <v>1658</v>
      </c>
      <c r="D430" s="69">
        <f>+ROUND('10. Alimentazione CE Costi'!E1022,2)</f>
        <v>-1995933.73</v>
      </c>
      <c r="E430" s="69">
        <f>+ROUND('10. Alimentazione CE Costi'!F1022,2)</f>
        <v>600683.04</v>
      </c>
      <c r="F430" s="290"/>
      <c r="G430" s="196"/>
      <c r="H430" s="70"/>
      <c r="J430" s="66"/>
      <c r="L430" s="70"/>
    </row>
    <row r="431" spans="1:12" ht="18.75">
      <c r="A431" s="189"/>
      <c r="B431" s="73" t="s">
        <v>1066</v>
      </c>
      <c r="C431" s="74" t="s">
        <v>1659</v>
      </c>
      <c r="D431" s="69">
        <f>+ROUND('10. Alimentazione CE Costi'!E1024,2)</f>
        <v>-103481</v>
      </c>
      <c r="E431" s="69">
        <f>+ROUND('10. Alimentazione CE Costi'!F1024,2)</f>
        <v>103303.67999999999</v>
      </c>
      <c r="F431" s="290"/>
      <c r="G431" s="196"/>
      <c r="H431" s="70"/>
      <c r="J431" s="66"/>
      <c r="L431" s="70"/>
    </row>
    <row r="432" spans="1:12" ht="18.75">
      <c r="A432" s="189"/>
      <c r="B432" s="73" t="s">
        <v>1067</v>
      </c>
      <c r="C432" s="74" t="s">
        <v>1660</v>
      </c>
      <c r="D432" s="69">
        <f>+ROUND('10. Alimentazione CE Costi'!E1026,2)</f>
        <v>-61261.68</v>
      </c>
      <c r="E432" s="69">
        <f>+ROUND('10. Alimentazione CE Costi'!F1026,2)</f>
        <v>1430621.49</v>
      </c>
      <c r="F432" s="290"/>
      <c r="G432" s="196"/>
      <c r="H432" s="70"/>
      <c r="J432" s="66"/>
      <c r="L432" s="70"/>
    </row>
    <row r="433" spans="1:12" ht="18.75">
      <c r="A433" s="189"/>
      <c r="B433" s="73" t="s">
        <v>1068</v>
      </c>
      <c r="C433" s="74" t="s">
        <v>1661</v>
      </c>
      <c r="D433" s="69">
        <f>+ROUND('10. Alimentazione CE Costi'!E1028,2)</f>
        <v>-10347.68</v>
      </c>
      <c r="E433" s="69">
        <f>+ROUND('10. Alimentazione CE Costi'!F1028,2)</f>
        <v>0</v>
      </c>
      <c r="F433" s="290"/>
      <c r="G433" s="196"/>
      <c r="H433" s="70"/>
      <c r="J433" s="66"/>
      <c r="L433" s="70"/>
    </row>
    <row r="434" spans="1:12" ht="18.75">
      <c r="A434" s="189"/>
      <c r="B434" s="73" t="s">
        <v>1069</v>
      </c>
      <c r="C434" s="74" t="s">
        <v>1662</v>
      </c>
      <c r="D434" s="69">
        <f>+ROUND('10. Alimentazione CE Costi'!E1030,2)</f>
        <v>-28708.95</v>
      </c>
      <c r="E434" s="69">
        <f>+ROUND('10. Alimentazione CE Costi'!F1030,2)</f>
        <v>4457.3599999999997</v>
      </c>
      <c r="F434" s="290"/>
      <c r="G434" s="196"/>
      <c r="H434" s="70"/>
      <c r="J434" s="66"/>
      <c r="L434" s="70"/>
    </row>
    <row r="435" spans="1:12" ht="18.75">
      <c r="A435" s="189"/>
      <c r="B435" s="73" t="s">
        <v>1070</v>
      </c>
      <c r="C435" s="74" t="s">
        <v>1663</v>
      </c>
      <c r="D435" s="69">
        <f>+ROUND('10. Alimentazione CE Costi'!E1032,2)</f>
        <v>317917.11</v>
      </c>
      <c r="E435" s="69">
        <f>+ROUND('10. Alimentazione CE Costi'!F1032,2)</f>
        <v>91676.78</v>
      </c>
      <c r="F435" s="290"/>
      <c r="G435" s="196"/>
      <c r="H435" s="70"/>
      <c r="J435" s="66"/>
      <c r="L435" s="70"/>
    </row>
    <row r="436" spans="1:12" ht="18.75">
      <c r="A436" s="189"/>
      <c r="B436" s="93" t="s">
        <v>1071</v>
      </c>
      <c r="C436" s="94" t="s">
        <v>1664</v>
      </c>
      <c r="D436" s="92">
        <f t="shared" ref="D436" si="162">SUM(D437:D442)</f>
        <v>406110.62999999995</v>
      </c>
      <c r="E436" s="92">
        <f t="shared" ref="E436" si="163">SUM(E437:E442)</f>
        <v>2022952.97</v>
      </c>
      <c r="F436" s="56" t="s">
        <v>1820</v>
      </c>
      <c r="G436" s="196"/>
      <c r="H436" s="70"/>
      <c r="J436" s="66"/>
      <c r="L436" s="70"/>
    </row>
    <row r="437" spans="1:12" ht="18.75">
      <c r="A437" s="189"/>
      <c r="B437" s="73" t="s">
        <v>1072</v>
      </c>
      <c r="C437" s="74" t="s">
        <v>1665</v>
      </c>
      <c r="D437" s="69">
        <f>+ROUND('10. Alimentazione CE Costi'!E1035,2)</f>
        <v>-224.46</v>
      </c>
      <c r="E437" s="69">
        <f>+ROUND('10. Alimentazione CE Costi'!F1035,2)</f>
        <v>1007.2</v>
      </c>
      <c r="F437" s="290"/>
      <c r="G437" s="196"/>
      <c r="H437" s="70"/>
      <c r="J437" s="66"/>
      <c r="L437" s="70"/>
    </row>
    <row r="438" spans="1:12" ht="25.5">
      <c r="A438" s="189"/>
      <c r="B438" s="73" t="s">
        <v>1073</v>
      </c>
      <c r="C438" s="74" t="s">
        <v>1666</v>
      </c>
      <c r="D438" s="69">
        <f>+ROUND('10. Alimentazione CE Costi'!E1037,2)</f>
        <v>411616.5</v>
      </c>
      <c r="E438" s="69">
        <f>+ROUND('10. Alimentazione CE Costi'!F1037,2)</f>
        <v>1976893.92</v>
      </c>
      <c r="F438" s="290"/>
      <c r="G438" s="196"/>
      <c r="H438" s="70"/>
      <c r="J438" s="66"/>
      <c r="L438" s="70"/>
    </row>
    <row r="439" spans="1:12" ht="18.75">
      <c r="A439" s="189"/>
      <c r="B439" s="73" t="s">
        <v>1074</v>
      </c>
      <c r="C439" s="74" t="s">
        <v>1667</v>
      </c>
      <c r="D439" s="69">
        <f>+ROUND('10. Alimentazione CE Costi'!E1039,2)</f>
        <v>0</v>
      </c>
      <c r="E439" s="69">
        <f>+ROUND('10. Alimentazione CE Costi'!F1039,2)</f>
        <v>0</v>
      </c>
      <c r="F439" s="290"/>
      <c r="G439" s="196"/>
      <c r="H439" s="70"/>
      <c r="J439" s="66"/>
      <c r="L439" s="70"/>
    </row>
    <row r="440" spans="1:12" ht="18.75">
      <c r="A440" s="189"/>
      <c r="B440" s="73" t="s">
        <v>1075</v>
      </c>
      <c r="C440" s="74" t="s">
        <v>1668</v>
      </c>
      <c r="D440" s="69">
        <f>+ROUND('10. Alimentazione CE Costi'!E1041,2)</f>
        <v>7426.1</v>
      </c>
      <c r="E440" s="69">
        <f>+ROUND('10. Alimentazione CE Costi'!F1041,2)</f>
        <v>41735.61</v>
      </c>
      <c r="F440" s="290"/>
      <c r="G440" s="196"/>
      <c r="H440" s="70"/>
      <c r="J440" s="66"/>
      <c r="L440" s="70"/>
    </row>
    <row r="441" spans="1:12" ht="18.75">
      <c r="A441" s="189"/>
      <c r="B441" s="73" t="s">
        <v>1076</v>
      </c>
      <c r="C441" s="74" t="s">
        <v>1669</v>
      </c>
      <c r="D441" s="69">
        <f>+ROUND('10. Alimentazione CE Costi'!E1043,2)</f>
        <v>-16552.63</v>
      </c>
      <c r="E441" s="69">
        <f>+ROUND('10. Alimentazione CE Costi'!F1043,2)</f>
        <v>492.7</v>
      </c>
      <c r="F441" s="290"/>
      <c r="G441" s="196"/>
      <c r="H441" s="70"/>
      <c r="J441" s="66"/>
      <c r="L441" s="70"/>
    </row>
    <row r="442" spans="1:12" ht="18.75">
      <c r="A442" s="189"/>
      <c r="B442" s="73" t="s">
        <v>1077</v>
      </c>
      <c r="C442" s="74" t="s">
        <v>1670</v>
      </c>
      <c r="D442" s="69">
        <f>+ROUND('10. Alimentazione CE Costi'!E1045,2)</f>
        <v>3845.12</v>
      </c>
      <c r="E442" s="69">
        <f>+ROUND('10. Alimentazione CE Costi'!F1045,2)</f>
        <v>2823.54</v>
      </c>
      <c r="F442" s="290"/>
      <c r="G442" s="196"/>
      <c r="H442" s="70"/>
      <c r="J442" s="66"/>
      <c r="L442" s="70"/>
    </row>
    <row r="443" spans="1:12" ht="18.75">
      <c r="A443" s="189"/>
      <c r="B443" s="98" t="s">
        <v>1078</v>
      </c>
      <c r="C443" s="99" t="s">
        <v>1671</v>
      </c>
      <c r="D443" s="100">
        <f t="shared" ref="D443" si="164">+D444+D452+D453+D460</f>
        <v>35290825.199999996</v>
      </c>
      <c r="E443" s="100">
        <f t="shared" ref="E443" si="165">+E444+E452+E453+E460</f>
        <v>13588028.99</v>
      </c>
      <c r="F443" s="56" t="s">
        <v>1820</v>
      </c>
      <c r="G443" s="196"/>
      <c r="H443" s="70"/>
      <c r="J443" s="66"/>
      <c r="L443" s="70"/>
    </row>
    <row r="444" spans="1:12" ht="18.75">
      <c r="A444" s="189"/>
      <c r="B444" s="93" t="s">
        <v>1079</v>
      </c>
      <c r="C444" s="94" t="s">
        <v>1672</v>
      </c>
      <c r="D444" s="92">
        <f t="shared" ref="D444" si="166">SUM(D445:D451)</f>
        <v>14801743.380000001</v>
      </c>
      <c r="E444" s="92">
        <f t="shared" ref="E444" si="167">SUM(E445:E451)</f>
        <v>13237018.73</v>
      </c>
      <c r="F444" s="56" t="s">
        <v>1820</v>
      </c>
      <c r="G444" s="196"/>
      <c r="H444" s="70"/>
      <c r="J444" s="66"/>
      <c r="L444" s="70"/>
    </row>
    <row r="445" spans="1:12" ht="25.5">
      <c r="A445" s="189"/>
      <c r="B445" s="73" t="s">
        <v>1081</v>
      </c>
      <c r="C445" s="74" t="s">
        <v>1673</v>
      </c>
      <c r="D445" s="69">
        <f>+ROUND('10. Alimentazione CE Costi'!E1049,2)</f>
        <v>0</v>
      </c>
      <c r="E445" s="69">
        <f>+ROUND('10. Alimentazione CE Costi'!F1049,2)</f>
        <v>58374.46</v>
      </c>
      <c r="F445" s="290"/>
      <c r="G445" s="196"/>
      <c r="H445" s="70"/>
      <c r="J445" s="66"/>
      <c r="L445" s="70"/>
    </row>
    <row r="446" spans="1:12" ht="25.5">
      <c r="A446" s="189"/>
      <c r="B446" s="73" t="s">
        <v>1083</v>
      </c>
      <c r="C446" s="74" t="s">
        <v>1674</v>
      </c>
      <c r="D446" s="69">
        <f>+ROUND('10. Alimentazione CE Costi'!E1051,2)</f>
        <v>0</v>
      </c>
      <c r="E446" s="69">
        <f>+ROUND('10. Alimentazione CE Costi'!F1051,2)</f>
        <v>0</v>
      </c>
      <c r="F446" s="290"/>
      <c r="G446" s="196"/>
      <c r="H446" s="70"/>
      <c r="J446" s="66"/>
      <c r="L446" s="70"/>
    </row>
    <row r="447" spans="1:12" ht="25.5">
      <c r="A447" s="189"/>
      <c r="B447" s="73" t="s">
        <v>1085</v>
      </c>
      <c r="C447" s="74" t="s">
        <v>1675</v>
      </c>
      <c r="D447" s="69">
        <f>+ROUND('10. Alimentazione CE Costi'!E1053,2)</f>
        <v>0</v>
      </c>
      <c r="E447" s="69">
        <f>+ROUND('10. Alimentazione CE Costi'!F1053,2)</f>
        <v>0</v>
      </c>
      <c r="F447" s="290"/>
      <c r="G447" s="196"/>
      <c r="H447" s="70"/>
      <c r="J447" s="66"/>
      <c r="L447" s="70"/>
    </row>
    <row r="448" spans="1:12" ht="25.5">
      <c r="A448" s="189"/>
      <c r="B448" s="73" t="s">
        <v>1087</v>
      </c>
      <c r="C448" s="74" t="s">
        <v>1676</v>
      </c>
      <c r="D448" s="69">
        <f>+ROUND('10. Alimentazione CE Costi'!E1055,2)</f>
        <v>0</v>
      </c>
      <c r="E448" s="69">
        <f>+ROUND('10. Alimentazione CE Costi'!F1055,2)</f>
        <v>0</v>
      </c>
      <c r="F448" s="290"/>
      <c r="G448" s="196"/>
      <c r="H448" s="70"/>
      <c r="J448" s="66"/>
      <c r="L448" s="70"/>
    </row>
    <row r="449" spans="1:12" ht="18.75">
      <c r="A449" s="189"/>
      <c r="B449" s="73" t="s">
        <v>1089</v>
      </c>
      <c r="C449" s="74" t="s">
        <v>1677</v>
      </c>
      <c r="D449" s="69">
        <f>+ROUND('10. Alimentazione CE Costi'!E1057,2)</f>
        <v>13801743.380000001</v>
      </c>
      <c r="E449" s="69">
        <f>+ROUND('10. Alimentazione CE Costi'!F1057,2)</f>
        <v>13178644.27</v>
      </c>
      <c r="F449" s="290"/>
      <c r="G449" s="196"/>
      <c r="H449" s="70"/>
      <c r="J449" s="66"/>
      <c r="L449" s="70"/>
    </row>
    <row r="450" spans="1:12" ht="18.75">
      <c r="A450" s="189"/>
      <c r="B450" s="73" t="s">
        <v>1091</v>
      </c>
      <c r="C450" s="74" t="s">
        <v>1678</v>
      </c>
      <c r="D450" s="69">
        <f>+ROUND('10. Alimentazione CE Costi'!E1059+'10. Alimentazione CE Costi'!E1060+'10. Alimentazione CE Costi'!E1061,2)</f>
        <v>0</v>
      </c>
      <c r="E450" s="69">
        <f>+ROUND('10. Alimentazione CE Costi'!F1059+'10. Alimentazione CE Costi'!F1060+'10. Alimentazione CE Costi'!F1061,2)</f>
        <v>0</v>
      </c>
      <c r="F450" s="290"/>
      <c r="G450" s="196"/>
      <c r="H450" s="70"/>
      <c r="J450" s="66"/>
      <c r="L450" s="70"/>
    </row>
    <row r="451" spans="1:12" ht="18.75">
      <c r="A451" s="189"/>
      <c r="B451" s="73" t="s">
        <v>1095</v>
      </c>
      <c r="C451" s="74" t="s">
        <v>1679</v>
      </c>
      <c r="D451" s="69">
        <f>+ROUND('10. Alimentazione CE Costi'!E1063,2)</f>
        <v>1000000</v>
      </c>
      <c r="E451" s="69">
        <f>+ROUND('10. Alimentazione CE Costi'!F1063,2)</f>
        <v>0</v>
      </c>
      <c r="F451" s="290"/>
      <c r="G451" s="196"/>
      <c r="H451" s="70"/>
      <c r="J451" s="66"/>
      <c r="L451" s="70"/>
    </row>
    <row r="452" spans="1:12" ht="25.5">
      <c r="A452" s="189"/>
      <c r="B452" s="71" t="s">
        <v>1096</v>
      </c>
      <c r="C452" s="72" t="s">
        <v>1680</v>
      </c>
      <c r="D452" s="69">
        <f>+ROUND('10. Alimentazione CE Costi'!E1065+'10. Alimentazione CE Costi'!E1066,2)</f>
        <v>0</v>
      </c>
      <c r="E452" s="69">
        <f>+ROUND('10. Alimentazione CE Costi'!F1065+'10. Alimentazione CE Costi'!F1066,2)</f>
        <v>0</v>
      </c>
      <c r="F452" s="290"/>
      <c r="G452" s="196"/>
      <c r="H452" s="70"/>
      <c r="J452" s="66"/>
      <c r="L452" s="70"/>
    </row>
    <row r="453" spans="1:12" ht="25.5">
      <c r="A453" s="189"/>
      <c r="B453" s="93" t="s">
        <v>1099</v>
      </c>
      <c r="C453" s="94" t="s">
        <v>1681</v>
      </c>
      <c r="D453" s="92">
        <f t="shared" ref="D453" si="168">SUM(D454:D459)</f>
        <v>17878008.77</v>
      </c>
      <c r="E453" s="92">
        <f t="shared" ref="E453" si="169">SUM(E454:E459)</f>
        <v>262700.07</v>
      </c>
      <c r="F453" s="56" t="s">
        <v>1820</v>
      </c>
      <c r="G453" s="196"/>
      <c r="H453" s="70"/>
      <c r="J453" s="66"/>
      <c r="L453" s="70"/>
    </row>
    <row r="454" spans="1:12" ht="25.5">
      <c r="A454" s="189"/>
      <c r="B454" s="73" t="s">
        <v>1100</v>
      </c>
      <c r="C454" s="74" t="s">
        <v>1682</v>
      </c>
      <c r="D454" s="69">
        <f>+ROUND('10. Alimentazione CE Costi'!E1069,2)</f>
        <v>15774563</v>
      </c>
      <c r="E454" s="69">
        <f>+ROUND('10. Alimentazione CE Costi'!F1069,2)</f>
        <v>816.36</v>
      </c>
      <c r="F454" s="290"/>
      <c r="G454" s="196"/>
      <c r="H454" s="70"/>
      <c r="J454" s="66"/>
      <c r="L454" s="70"/>
    </row>
    <row r="455" spans="1:12" ht="25.5">
      <c r="A455" s="189"/>
      <c r="B455" s="73" t="s">
        <v>1102</v>
      </c>
      <c r="C455" s="74" t="s">
        <v>1683</v>
      </c>
      <c r="D455" s="69">
        <f>+ROUND('10. Alimentazione CE Costi'!E1071,2)</f>
        <v>0</v>
      </c>
      <c r="E455" s="69">
        <f>+ROUND('10. Alimentazione CE Costi'!F1071,2)</f>
        <v>0</v>
      </c>
      <c r="F455" s="290"/>
      <c r="G455" s="196"/>
      <c r="H455" s="70"/>
      <c r="J455" s="66"/>
      <c r="L455" s="70"/>
    </row>
    <row r="456" spans="1:12" ht="25.5">
      <c r="A456" s="189"/>
      <c r="B456" s="73" t="s">
        <v>1104</v>
      </c>
      <c r="C456" s="74" t="s">
        <v>1684</v>
      </c>
      <c r="D456" s="69">
        <f>+ROUND('10. Alimentazione CE Costi'!E1073,2)</f>
        <v>2103220.54</v>
      </c>
      <c r="E456" s="69">
        <f>+ROUND('10. Alimentazione CE Costi'!F1073,2)</f>
        <v>214690.42</v>
      </c>
      <c r="F456" s="290"/>
      <c r="G456" s="196"/>
      <c r="H456" s="70"/>
      <c r="J456" s="66"/>
      <c r="L456" s="70"/>
    </row>
    <row r="457" spans="1:12" ht="25.5">
      <c r="A457" s="189"/>
      <c r="B457" s="73" t="s">
        <v>1106</v>
      </c>
      <c r="C457" s="74" t="s">
        <v>1685</v>
      </c>
      <c r="D457" s="69">
        <f>+ROUND('10. Alimentazione CE Costi'!E1075,2)</f>
        <v>0</v>
      </c>
      <c r="E457" s="69">
        <f>+ROUND('10. Alimentazione CE Costi'!F1075,2)</f>
        <v>0</v>
      </c>
      <c r="F457" s="290"/>
      <c r="G457" s="196"/>
      <c r="H457" s="70"/>
      <c r="J457" s="66"/>
      <c r="L457" s="70"/>
    </row>
    <row r="458" spans="1:12" ht="25.5">
      <c r="A458" s="189"/>
      <c r="B458" s="73" t="s">
        <v>1107</v>
      </c>
      <c r="C458" s="74" t="s">
        <v>1686</v>
      </c>
      <c r="D458" s="69">
        <f>+ROUND('10. Alimentazione CE Costi'!E1077+'10. Alimentazione CE Costi'!E1078,2)</f>
        <v>225.23</v>
      </c>
      <c r="E458" s="69">
        <f>+ROUND('10. Alimentazione CE Costi'!F1077+'10. Alimentazione CE Costi'!F1078,2)</f>
        <v>47193.29</v>
      </c>
      <c r="F458" s="290"/>
      <c r="G458" s="196"/>
      <c r="H458" s="70"/>
      <c r="J458" s="66"/>
      <c r="L458" s="70"/>
    </row>
    <row r="459" spans="1:12" ht="25.5">
      <c r="A459" s="189"/>
      <c r="B459" s="73" t="s">
        <v>1111</v>
      </c>
      <c r="C459" s="74" t="s">
        <v>1687</v>
      </c>
      <c r="D459" s="69">
        <f>+ROUND('10. Alimentazione CE Costi'!E1080,2)</f>
        <v>0</v>
      </c>
      <c r="E459" s="69">
        <f>+ROUND('10. Alimentazione CE Costi'!F1080,2)</f>
        <v>0</v>
      </c>
      <c r="F459" s="290"/>
      <c r="G459" s="196"/>
      <c r="H459" s="70"/>
      <c r="J459" s="66"/>
      <c r="L459" s="70"/>
    </row>
    <row r="460" spans="1:12" ht="18.75">
      <c r="A460" s="189"/>
      <c r="B460" s="93" t="s">
        <v>1113</v>
      </c>
      <c r="C460" s="94" t="s">
        <v>1688</v>
      </c>
      <c r="D460" s="92">
        <f t="shared" ref="D460" si="170">SUM(D461:D470)</f>
        <v>2611073.0499999998</v>
      </c>
      <c r="E460" s="92">
        <f t="shared" ref="E460" si="171">SUM(E461:E470)</f>
        <v>88310.19</v>
      </c>
      <c r="F460" s="56" t="s">
        <v>1820</v>
      </c>
      <c r="G460" s="196"/>
      <c r="H460" s="70"/>
      <c r="J460" s="66"/>
      <c r="L460" s="70"/>
    </row>
    <row r="461" spans="1:12" ht="18.75">
      <c r="A461" s="189"/>
      <c r="B461" s="81" t="s">
        <v>1115</v>
      </c>
      <c r="C461" s="82" t="s">
        <v>1689</v>
      </c>
      <c r="D461" s="69">
        <f>+ROUND('10. Alimentazione CE Costi'!E1083,2)</f>
        <v>0</v>
      </c>
      <c r="E461" s="69">
        <f>+ROUND('10. Alimentazione CE Costi'!F1083,2)</f>
        <v>0</v>
      </c>
      <c r="F461" s="290"/>
      <c r="G461" s="196"/>
      <c r="H461" s="70"/>
      <c r="J461" s="66"/>
      <c r="L461" s="70"/>
    </row>
    <row r="462" spans="1:12" ht="18.75">
      <c r="A462" s="189"/>
      <c r="B462" s="81" t="s">
        <v>1117</v>
      </c>
      <c r="C462" s="82" t="s">
        <v>1690</v>
      </c>
      <c r="D462" s="69">
        <f>+ROUND('10. Alimentazione CE Costi'!E1085,2)</f>
        <v>0</v>
      </c>
      <c r="E462" s="69">
        <f>+ROUND('10. Alimentazione CE Costi'!F1085,2)</f>
        <v>0</v>
      </c>
      <c r="F462" s="290"/>
      <c r="G462" s="196"/>
      <c r="H462" s="70"/>
      <c r="J462" s="66"/>
      <c r="L462" s="70"/>
    </row>
    <row r="463" spans="1:12" ht="18.75">
      <c r="A463" s="189"/>
      <c r="B463" s="81" t="s">
        <v>1119</v>
      </c>
      <c r="C463" s="82" t="s">
        <v>1691</v>
      </c>
      <c r="D463" s="69">
        <f>+ROUND('10. Alimentazione CE Costi'!E1087,2)</f>
        <v>2013788.41</v>
      </c>
      <c r="E463" s="69">
        <f>+ROUND('10. Alimentazione CE Costi'!F1087,2)</f>
        <v>5619.9</v>
      </c>
      <c r="F463" s="290"/>
      <c r="G463" s="196"/>
      <c r="H463" s="70"/>
      <c r="J463" s="66"/>
      <c r="L463" s="70"/>
    </row>
    <row r="464" spans="1:12" ht="18.75">
      <c r="A464" s="189"/>
      <c r="B464" s="73" t="s">
        <v>1121</v>
      </c>
      <c r="C464" s="74" t="s">
        <v>1692</v>
      </c>
      <c r="D464" s="69">
        <f>+ROUND('10. Alimentazione CE Costi'!E1089,2)</f>
        <v>68721.3</v>
      </c>
      <c r="E464" s="69">
        <f>+ROUND('10. Alimentazione CE Costi'!F1089,2)</f>
        <v>78918.8</v>
      </c>
      <c r="F464" s="290"/>
      <c r="G464" s="196"/>
      <c r="H464" s="70"/>
      <c r="J464" s="66"/>
      <c r="L464" s="70"/>
    </row>
    <row r="465" spans="1:12" ht="18.75">
      <c r="A465" s="189"/>
      <c r="B465" s="73" t="s">
        <v>1123</v>
      </c>
      <c r="C465" s="74" t="s">
        <v>1693</v>
      </c>
      <c r="D465" s="69">
        <f>+ROUND('10. Alimentazione CE Costi'!E1091,2)</f>
        <v>0</v>
      </c>
      <c r="E465" s="69">
        <f>+ROUND('10. Alimentazione CE Costi'!F1091,2)</f>
        <v>3771.49</v>
      </c>
      <c r="F465" s="290"/>
      <c r="G465" s="196"/>
      <c r="H465" s="70"/>
      <c r="J465" s="66"/>
      <c r="L465" s="70"/>
    </row>
    <row r="466" spans="1:12" ht="18.75">
      <c r="A466" s="189"/>
      <c r="B466" s="73" t="s">
        <v>1125</v>
      </c>
      <c r="C466" s="74" t="s">
        <v>1694</v>
      </c>
      <c r="D466" s="69">
        <f>+ROUND('10. Alimentazione CE Costi'!E1093,2)</f>
        <v>0</v>
      </c>
      <c r="E466" s="69">
        <f>+ROUND('10. Alimentazione CE Costi'!F1093,2)</f>
        <v>0</v>
      </c>
      <c r="F466" s="290"/>
      <c r="G466" s="196"/>
      <c r="H466" s="70"/>
      <c r="J466" s="66"/>
      <c r="L466" s="70"/>
    </row>
    <row r="467" spans="1:12" ht="18.75">
      <c r="A467" s="189"/>
      <c r="B467" s="73" t="s">
        <v>1127</v>
      </c>
      <c r="C467" s="74" t="s">
        <v>1695</v>
      </c>
      <c r="D467" s="69">
        <f>+ROUND('10. Alimentazione CE Costi'!E1095,2)</f>
        <v>0</v>
      </c>
      <c r="E467" s="69">
        <f>+ROUND('10. Alimentazione CE Costi'!F1095,2)</f>
        <v>0</v>
      </c>
      <c r="F467" s="290"/>
      <c r="G467" s="196"/>
      <c r="H467" s="70"/>
      <c r="J467" s="66"/>
      <c r="L467" s="70"/>
    </row>
    <row r="468" spans="1:12" ht="18.75">
      <c r="A468" s="189"/>
      <c r="B468" s="73" t="s">
        <v>1129</v>
      </c>
      <c r="C468" s="74" t="s">
        <v>1696</v>
      </c>
      <c r="D468" s="69">
        <f>+ROUND('10. Alimentazione CE Costi'!E1097,2)</f>
        <v>0</v>
      </c>
      <c r="E468" s="69">
        <f>+ROUND('10. Alimentazione CE Costi'!F1097,2)</f>
        <v>0</v>
      </c>
      <c r="F468" s="290"/>
      <c r="G468" s="196"/>
      <c r="H468" s="70"/>
      <c r="J468" s="66"/>
      <c r="L468" s="70"/>
    </row>
    <row r="469" spans="1:12" ht="25.5">
      <c r="A469" s="189"/>
      <c r="B469" s="73" t="s">
        <v>1131</v>
      </c>
      <c r="C469" s="74" t="s">
        <v>1697</v>
      </c>
      <c r="D469" s="69">
        <f>+ROUND('10. Alimentazione CE Costi'!E1099,2)</f>
        <v>3449.65</v>
      </c>
      <c r="E469" s="69">
        <f>+ROUND('10. Alimentazione CE Costi'!F1099,2)</f>
        <v>0</v>
      </c>
      <c r="F469" s="290"/>
      <c r="G469" s="196"/>
      <c r="H469" s="70"/>
      <c r="J469" s="66"/>
      <c r="L469" s="70"/>
    </row>
    <row r="470" spans="1:12" ht="18.75">
      <c r="A470" s="189"/>
      <c r="B470" s="81" t="s">
        <v>1132</v>
      </c>
      <c r="C470" s="83" t="s">
        <v>1698</v>
      </c>
      <c r="D470" s="69">
        <f>+ROUND('10. Alimentazione CE Costi'!E1101,2)</f>
        <v>525113.68999999994</v>
      </c>
      <c r="E470" s="69">
        <f>+ROUND('10. Alimentazione CE Costi'!F1101,2)</f>
        <v>0</v>
      </c>
      <c r="F470" s="290"/>
      <c r="G470" s="196"/>
      <c r="H470" s="70"/>
      <c r="J470" s="66"/>
      <c r="L470" s="70"/>
    </row>
    <row r="471" spans="1:12" ht="18.75">
      <c r="A471" s="187"/>
      <c r="B471" s="101" t="s">
        <v>1699</v>
      </c>
      <c r="C471" s="102" t="s">
        <v>1700</v>
      </c>
      <c r="D471" s="103">
        <f>+D443+D426+D416+D408+D366+D356+D348+D179+D139+D423</f>
        <v>509088911.49000001</v>
      </c>
      <c r="E471" s="103">
        <f t="shared" ref="E471" si="172">+E443+E426+E416+E408+E366+E356+E348+E179+E139+E423</f>
        <v>455361944.05000001</v>
      </c>
      <c r="F471" s="56"/>
      <c r="G471" s="196"/>
      <c r="H471" s="70"/>
      <c r="J471" s="66"/>
      <c r="L471" s="70"/>
    </row>
    <row r="472" spans="1:12" ht="18.75">
      <c r="A472" s="187"/>
      <c r="B472" s="114"/>
      <c r="C472" s="115" t="s">
        <v>1701</v>
      </c>
      <c r="D472" s="116"/>
      <c r="E472" s="116"/>
      <c r="F472" s="56"/>
      <c r="G472" s="196"/>
      <c r="H472" s="70"/>
      <c r="J472" s="66"/>
      <c r="L472" s="70"/>
    </row>
    <row r="473" spans="1:12" ht="18.75">
      <c r="A473" s="187"/>
      <c r="B473" s="98" t="s">
        <v>397</v>
      </c>
      <c r="C473" s="99" t="s">
        <v>1702</v>
      </c>
      <c r="D473" s="100">
        <f t="shared" ref="D473" si="173">+D474+D475+D476</f>
        <v>0</v>
      </c>
      <c r="E473" s="100">
        <f t="shared" ref="E473" si="174">+E474+E475+E476</f>
        <v>0.01</v>
      </c>
      <c r="F473" s="56" t="s">
        <v>1820</v>
      </c>
      <c r="G473" s="196"/>
      <c r="H473" s="70"/>
      <c r="J473" s="66"/>
      <c r="L473" s="70"/>
    </row>
    <row r="474" spans="1:12" ht="18.75">
      <c r="A474" s="187"/>
      <c r="B474" s="71" t="s">
        <v>399</v>
      </c>
      <c r="C474" s="72" t="s">
        <v>1703</v>
      </c>
      <c r="D474" s="69">
        <f>+ROUND('9. Alimentazione CE Ricavi'!E320,2)</f>
        <v>0</v>
      </c>
      <c r="E474" s="69">
        <f>+ROUND('9. Alimentazione CE Ricavi'!F320,2)</f>
        <v>0.01</v>
      </c>
      <c r="F474" s="56"/>
      <c r="G474" s="196"/>
      <c r="H474" s="70"/>
      <c r="J474" s="66"/>
      <c r="L474" s="70"/>
    </row>
    <row r="475" spans="1:12" ht="18.75">
      <c r="A475" s="187"/>
      <c r="B475" s="71" t="s">
        <v>400</v>
      </c>
      <c r="C475" s="72" t="s">
        <v>1704</v>
      </c>
      <c r="D475" s="69">
        <f>+ROUND('9. Alimentazione CE Ricavi'!E322+'9. Alimentazione CE Ricavi'!E323,2)</f>
        <v>0</v>
      </c>
      <c r="E475" s="69">
        <f>+ROUND('9. Alimentazione CE Ricavi'!F322+'9. Alimentazione CE Ricavi'!F323,2)</f>
        <v>0</v>
      </c>
      <c r="F475" s="56"/>
      <c r="G475" s="196"/>
      <c r="H475" s="70"/>
      <c r="J475" s="66"/>
      <c r="L475" s="70"/>
    </row>
    <row r="476" spans="1:12" ht="18.75">
      <c r="A476" s="187"/>
      <c r="B476" s="71" t="s">
        <v>404</v>
      </c>
      <c r="C476" s="72" t="s">
        <v>1705</v>
      </c>
      <c r="D476" s="69">
        <f>+ROUND('9. Alimentazione CE Ricavi'!E325+'9. Alimentazione CE Ricavi'!E327+'9. Alimentazione CE Ricavi'!E326,2)</f>
        <v>0</v>
      </c>
      <c r="E476" s="69">
        <f>+ROUND('9. Alimentazione CE Ricavi'!F325+'9. Alimentazione CE Ricavi'!F327+'9. Alimentazione CE Ricavi'!F326,2)</f>
        <v>0</v>
      </c>
      <c r="F476" s="56"/>
      <c r="G476" s="196"/>
      <c r="H476" s="70"/>
      <c r="J476" s="66"/>
      <c r="L476" s="70"/>
    </row>
    <row r="477" spans="1:12" ht="18.75">
      <c r="A477" s="187"/>
      <c r="B477" s="98" t="s">
        <v>406</v>
      </c>
      <c r="C477" s="99" t="s">
        <v>1706</v>
      </c>
      <c r="D477" s="100">
        <f t="shared" ref="D477" si="175">SUM(D478:D482)</f>
        <v>0</v>
      </c>
      <c r="E477" s="100">
        <f t="shared" ref="E477" si="176">SUM(E478:E482)</f>
        <v>0</v>
      </c>
      <c r="F477" s="56" t="s">
        <v>1820</v>
      </c>
      <c r="G477" s="196"/>
      <c r="H477" s="70"/>
      <c r="J477" s="66"/>
      <c r="L477" s="70"/>
    </row>
    <row r="478" spans="1:12" ht="18.75">
      <c r="A478" s="187"/>
      <c r="B478" s="71" t="s">
        <v>408</v>
      </c>
      <c r="C478" s="72" t="s">
        <v>1707</v>
      </c>
      <c r="D478" s="69">
        <f>+ROUND('9. Alimentazione CE Ricavi'!E330,2)</f>
        <v>0</v>
      </c>
      <c r="E478" s="69">
        <f>+ROUND('9. Alimentazione CE Ricavi'!F330,2)</f>
        <v>0</v>
      </c>
      <c r="F478" s="56"/>
      <c r="G478" s="196"/>
      <c r="H478" s="70"/>
      <c r="J478" s="66"/>
      <c r="L478" s="70"/>
    </row>
    <row r="479" spans="1:12" ht="25.5">
      <c r="A479" s="187"/>
      <c r="B479" s="71" t="s">
        <v>410</v>
      </c>
      <c r="C479" s="72" t="s">
        <v>1708</v>
      </c>
      <c r="D479" s="69">
        <f>+ROUND('9. Alimentazione CE Ricavi'!E332,2)</f>
        <v>0</v>
      </c>
      <c r="E479" s="69">
        <f>+ROUND('9. Alimentazione CE Ricavi'!F332,2)</f>
        <v>0</v>
      </c>
      <c r="F479" s="56"/>
      <c r="G479" s="196"/>
      <c r="H479" s="70"/>
      <c r="J479" s="66"/>
      <c r="L479" s="70"/>
    </row>
    <row r="480" spans="1:12" ht="25.5">
      <c r="A480" s="187"/>
      <c r="B480" s="71" t="s">
        <v>412</v>
      </c>
      <c r="C480" s="72" t="s">
        <v>1709</v>
      </c>
      <c r="D480" s="69">
        <f>+ROUND('9. Alimentazione CE Ricavi'!E334,2)</f>
        <v>0</v>
      </c>
      <c r="E480" s="69">
        <f>+ROUND('9. Alimentazione CE Ricavi'!F334,2)</f>
        <v>0</v>
      </c>
      <c r="F480" s="56"/>
      <c r="G480" s="196"/>
      <c r="H480" s="70"/>
      <c r="J480" s="66"/>
      <c r="L480" s="70"/>
    </row>
    <row r="481" spans="1:12" ht="18.75">
      <c r="A481" s="187"/>
      <c r="B481" s="71" t="s">
        <v>414</v>
      </c>
      <c r="C481" s="72" t="s">
        <v>1710</v>
      </c>
      <c r="D481" s="69">
        <f>+ROUND('9. Alimentazione CE Ricavi'!E336,2)</f>
        <v>0</v>
      </c>
      <c r="E481" s="69">
        <f>+ROUND('9. Alimentazione CE Ricavi'!F336,2)</f>
        <v>0</v>
      </c>
      <c r="F481" s="56"/>
      <c r="G481" s="196"/>
      <c r="H481" s="70"/>
      <c r="J481" s="66"/>
      <c r="L481" s="70"/>
    </row>
    <row r="482" spans="1:12" ht="18.75">
      <c r="A482" s="187"/>
      <c r="B482" s="71" t="s">
        <v>416</v>
      </c>
      <c r="C482" s="72" t="s">
        <v>1711</v>
      </c>
      <c r="D482" s="69">
        <f>+ROUND('9. Alimentazione CE Ricavi'!E338,2)</f>
        <v>0</v>
      </c>
      <c r="E482" s="69">
        <f>+ROUND('9. Alimentazione CE Ricavi'!F338,2)</f>
        <v>0</v>
      </c>
      <c r="F482" s="56"/>
      <c r="G482" s="196"/>
      <c r="H482" s="70"/>
      <c r="J482" s="66"/>
      <c r="L482" s="70"/>
    </row>
    <row r="483" spans="1:12" ht="18.75">
      <c r="A483" s="187"/>
      <c r="B483" s="98" t="s">
        <v>1133</v>
      </c>
      <c r="C483" s="99" t="s">
        <v>1712</v>
      </c>
      <c r="D483" s="100">
        <f t="shared" ref="D483" si="177">SUM(D484:D486)</f>
        <v>0</v>
      </c>
      <c r="E483" s="100">
        <f t="shared" ref="E483" si="178">SUM(E484:E486)</f>
        <v>0</v>
      </c>
      <c r="F483" s="56" t="s">
        <v>1820</v>
      </c>
      <c r="G483" s="196"/>
      <c r="H483" s="70"/>
      <c r="J483" s="66"/>
      <c r="L483" s="70"/>
    </row>
    <row r="484" spans="1:12" ht="18.75">
      <c r="A484" s="187"/>
      <c r="B484" s="71" t="s">
        <v>1135</v>
      </c>
      <c r="C484" s="72" t="s">
        <v>1713</v>
      </c>
      <c r="D484" s="69">
        <f>+ROUND('10. Alimentazione CE Costi'!E1105,2)</f>
        <v>0</v>
      </c>
      <c r="E484" s="69">
        <f>+ROUND('10. Alimentazione CE Costi'!F1105,2)</f>
        <v>0</v>
      </c>
      <c r="F484" s="56"/>
      <c r="G484" s="196"/>
      <c r="H484" s="70"/>
      <c r="J484" s="66"/>
      <c r="L484" s="70"/>
    </row>
    <row r="485" spans="1:12" ht="18.75">
      <c r="A485" s="187"/>
      <c r="B485" s="71" t="s">
        <v>1137</v>
      </c>
      <c r="C485" s="72" t="s">
        <v>1714</v>
      </c>
      <c r="D485" s="69">
        <f>+ROUND('10. Alimentazione CE Costi'!E1107,2)</f>
        <v>0</v>
      </c>
      <c r="E485" s="69">
        <f>+ROUND('10. Alimentazione CE Costi'!F1107,2)</f>
        <v>0</v>
      </c>
      <c r="F485" s="56"/>
      <c r="G485" s="196"/>
      <c r="H485" s="70"/>
      <c r="J485" s="66"/>
      <c r="L485" s="70"/>
    </row>
    <row r="486" spans="1:12" ht="18.75">
      <c r="A486" s="187"/>
      <c r="B486" s="71" t="s">
        <v>1139</v>
      </c>
      <c r="C486" s="72" t="s">
        <v>1715</v>
      </c>
      <c r="D486" s="69">
        <f>+ROUND('10. Alimentazione CE Costi'!E1109+'10. Alimentazione CE Costi'!E1110,2)</f>
        <v>0</v>
      </c>
      <c r="E486" s="69">
        <f>+ROUND('10. Alimentazione CE Costi'!F1109+'10. Alimentazione CE Costi'!F1110,2)</f>
        <v>0</v>
      </c>
      <c r="F486" s="56"/>
      <c r="G486" s="196"/>
      <c r="H486" s="70"/>
      <c r="J486" s="66"/>
      <c r="L486" s="70"/>
    </row>
    <row r="487" spans="1:12" ht="18.75">
      <c r="A487" s="187"/>
      <c r="B487" s="98" t="s">
        <v>1716</v>
      </c>
      <c r="C487" s="99" t="s">
        <v>1717</v>
      </c>
      <c r="D487" s="100">
        <f t="shared" ref="D487" si="179">SUM(D488:D489)</f>
        <v>0</v>
      </c>
      <c r="E487" s="100">
        <f t="shared" ref="E487" si="180">SUM(E488:E489)</f>
        <v>0</v>
      </c>
      <c r="F487" s="56" t="s">
        <v>1820</v>
      </c>
      <c r="G487" s="196"/>
      <c r="H487" s="70"/>
      <c r="J487" s="66"/>
      <c r="L487" s="70"/>
    </row>
    <row r="488" spans="1:12" ht="18.75">
      <c r="A488" s="187"/>
      <c r="B488" s="71" t="s">
        <v>1141</v>
      </c>
      <c r="C488" s="72" t="s">
        <v>1718</v>
      </c>
      <c r="D488" s="69">
        <f>+ROUND('10. Alimentazione CE Costi'!E1113,2)</f>
        <v>0</v>
      </c>
      <c r="E488" s="69">
        <f>+ROUND('10. Alimentazione CE Costi'!F1113,2)</f>
        <v>0</v>
      </c>
      <c r="F488" s="56"/>
      <c r="G488" s="196"/>
      <c r="H488" s="70"/>
      <c r="J488" s="66"/>
      <c r="L488" s="70"/>
    </row>
    <row r="489" spans="1:12" ht="18.75">
      <c r="A489" s="187"/>
      <c r="B489" s="71" t="s">
        <v>1143</v>
      </c>
      <c r="C489" s="72" t="s">
        <v>1719</v>
      </c>
      <c r="D489" s="69">
        <f>+ROUND('10. Alimentazione CE Costi'!E1115,2)</f>
        <v>0</v>
      </c>
      <c r="E489" s="69">
        <f>+ROUND('10. Alimentazione CE Costi'!F1115,2)</f>
        <v>0</v>
      </c>
      <c r="F489" s="56"/>
      <c r="G489" s="196"/>
      <c r="H489" s="70"/>
      <c r="J489" s="66"/>
      <c r="L489" s="70"/>
    </row>
    <row r="490" spans="1:12" ht="18.75">
      <c r="A490" s="187"/>
      <c r="B490" s="101" t="s">
        <v>1720</v>
      </c>
      <c r="C490" s="102" t="s">
        <v>1721</v>
      </c>
      <c r="D490" s="103">
        <f t="shared" ref="D490" si="181">+D473+D477-D483-D487</f>
        <v>0</v>
      </c>
      <c r="E490" s="103">
        <f t="shared" ref="E490" si="182">+E473+E477-E483-E487</f>
        <v>0.01</v>
      </c>
      <c r="F490" s="56" t="s">
        <v>1820</v>
      </c>
      <c r="G490" s="196"/>
      <c r="H490" s="70"/>
      <c r="J490" s="66"/>
      <c r="L490" s="70"/>
    </row>
    <row r="491" spans="1:12" ht="18.75">
      <c r="A491" s="187"/>
      <c r="B491" s="114"/>
      <c r="C491" s="115" t="s">
        <v>1722</v>
      </c>
      <c r="D491" s="116"/>
      <c r="E491" s="116"/>
      <c r="F491" s="56"/>
      <c r="G491" s="196"/>
      <c r="H491" s="70"/>
      <c r="J491" s="66"/>
      <c r="L491" s="70"/>
    </row>
    <row r="492" spans="1:12" ht="18.75">
      <c r="A492" s="187"/>
      <c r="B492" s="67" t="s">
        <v>418</v>
      </c>
      <c r="C492" s="68" t="s">
        <v>1723</v>
      </c>
      <c r="D492" s="69">
        <f>+ROUND('9. Alimentazione CE Ricavi'!E341,2)</f>
        <v>0</v>
      </c>
      <c r="E492" s="69">
        <f>+ROUND('9. Alimentazione CE Ricavi'!F341,2)</f>
        <v>0</v>
      </c>
      <c r="F492" s="56"/>
      <c r="G492" s="196"/>
      <c r="H492" s="70"/>
      <c r="J492" s="66"/>
      <c r="L492" s="70"/>
    </row>
    <row r="493" spans="1:12" ht="18.75">
      <c r="A493" s="187"/>
      <c r="B493" s="67" t="s">
        <v>1145</v>
      </c>
      <c r="C493" s="68" t="s">
        <v>1724</v>
      </c>
      <c r="D493" s="69">
        <f>+ROUND('10. Alimentazione CE Costi'!E1118,2)</f>
        <v>0</v>
      </c>
      <c r="E493" s="69">
        <f>+ROUND('10. Alimentazione CE Costi'!F1118,2)</f>
        <v>0</v>
      </c>
      <c r="F493" s="56"/>
      <c r="G493" s="196"/>
      <c r="H493" s="70"/>
      <c r="J493" s="66"/>
      <c r="L493" s="70"/>
    </row>
    <row r="494" spans="1:12" ht="18.75">
      <c r="A494" s="187"/>
      <c r="B494" s="101" t="s">
        <v>1725</v>
      </c>
      <c r="C494" s="102" t="s">
        <v>1726</v>
      </c>
      <c r="D494" s="103">
        <f t="shared" ref="D494" si="183">+D492-D493</f>
        <v>0</v>
      </c>
      <c r="E494" s="103">
        <f t="shared" ref="E494" si="184">+E492-E493</f>
        <v>0</v>
      </c>
      <c r="F494" s="56" t="s">
        <v>1820</v>
      </c>
      <c r="G494" s="196"/>
      <c r="H494" s="70"/>
      <c r="J494" s="66"/>
      <c r="L494" s="70"/>
    </row>
    <row r="495" spans="1:12" ht="18.75">
      <c r="A495" s="187"/>
      <c r="B495" s="114"/>
      <c r="C495" s="115" t="s">
        <v>1727</v>
      </c>
      <c r="D495" s="116"/>
      <c r="E495" s="116"/>
      <c r="F495" s="56"/>
      <c r="G495" s="196"/>
      <c r="H495" s="70"/>
      <c r="J495" s="66"/>
      <c r="L495" s="70"/>
    </row>
    <row r="496" spans="1:12" ht="18.75">
      <c r="A496" s="187"/>
      <c r="B496" s="98" t="s">
        <v>419</v>
      </c>
      <c r="C496" s="99" t="s">
        <v>1728</v>
      </c>
      <c r="D496" s="100">
        <f t="shared" ref="D496" si="185">+D497+D498</f>
        <v>5135791.99</v>
      </c>
      <c r="E496" s="100">
        <f t="shared" ref="E496" si="186">+E497+E498</f>
        <v>119278.81</v>
      </c>
      <c r="F496" s="56" t="s">
        <v>1820</v>
      </c>
      <c r="G496" s="196"/>
      <c r="H496" s="70"/>
      <c r="J496" s="66"/>
      <c r="L496" s="70"/>
    </row>
    <row r="497" spans="1:12" ht="18.75">
      <c r="A497" s="187"/>
      <c r="B497" s="71" t="s">
        <v>421</v>
      </c>
      <c r="C497" s="72" t="s">
        <v>1729</v>
      </c>
      <c r="D497" s="69">
        <f>+ROUND('9. Alimentazione CE Ricavi'!E345,2)</f>
        <v>0</v>
      </c>
      <c r="E497" s="69">
        <f>+ROUND('9. Alimentazione CE Ricavi'!F345,2)</f>
        <v>0</v>
      </c>
      <c r="F497" s="56"/>
      <c r="G497" s="196"/>
      <c r="H497" s="70"/>
      <c r="J497" s="66"/>
      <c r="L497" s="70"/>
    </row>
    <row r="498" spans="1:12" ht="18.75">
      <c r="A498" s="187"/>
      <c r="B498" s="93" t="s">
        <v>423</v>
      </c>
      <c r="C498" s="94" t="s">
        <v>1730</v>
      </c>
      <c r="D498" s="92">
        <f t="shared" ref="D498" si="187">+D499+D500+D511+D521</f>
        <v>5135791.99</v>
      </c>
      <c r="E498" s="92">
        <f t="shared" ref="E498" si="188">+E499+E500+E511+E521</f>
        <v>119278.81</v>
      </c>
      <c r="F498" s="56" t="s">
        <v>1820</v>
      </c>
      <c r="G498" s="196"/>
      <c r="H498" s="70"/>
      <c r="J498" s="66"/>
      <c r="L498" s="70"/>
    </row>
    <row r="499" spans="1:12" ht="18.75">
      <c r="A499" s="187"/>
      <c r="B499" s="73" t="s">
        <v>425</v>
      </c>
      <c r="C499" s="74" t="s">
        <v>1731</v>
      </c>
      <c r="D499" s="69">
        <f>+ROUND('9. Alimentazione CE Ricavi'!E348,2)</f>
        <v>0</v>
      </c>
      <c r="E499" s="69">
        <f>+ROUND('9. Alimentazione CE Ricavi'!F348,2)</f>
        <v>0</v>
      </c>
      <c r="F499" s="56"/>
      <c r="G499" s="196"/>
      <c r="H499" s="70"/>
      <c r="J499" s="66"/>
      <c r="L499" s="70"/>
    </row>
    <row r="500" spans="1:12" ht="18.75">
      <c r="A500" s="187"/>
      <c r="B500" s="104" t="s">
        <v>426</v>
      </c>
      <c r="C500" s="105" t="s">
        <v>1732</v>
      </c>
      <c r="D500" s="106">
        <f t="shared" ref="D500" si="189">+D501+D502+D503</f>
        <v>5113197.5600000005</v>
      </c>
      <c r="E500" s="106">
        <f t="shared" ref="E500" si="190">+E501+E502+E503</f>
        <v>117520.66</v>
      </c>
      <c r="F500" s="56" t="s">
        <v>1820</v>
      </c>
      <c r="G500" s="196"/>
      <c r="H500" s="70"/>
      <c r="J500" s="66"/>
      <c r="L500" s="70"/>
    </row>
    <row r="501" spans="1:12" ht="18.75">
      <c r="A501" s="189"/>
      <c r="B501" s="73" t="s">
        <v>428</v>
      </c>
      <c r="C501" s="74" t="s">
        <v>1733</v>
      </c>
      <c r="D501" s="69">
        <f>+ROUND('9. Alimentazione CE Ricavi'!E351,2)</f>
        <v>2411121</v>
      </c>
      <c r="E501" s="69">
        <f>+ROUND('9. Alimentazione CE Ricavi'!F351,2)</f>
        <v>17418.72</v>
      </c>
      <c r="F501" s="290"/>
      <c r="G501" s="196"/>
      <c r="H501" s="70"/>
      <c r="J501" s="66"/>
      <c r="L501" s="70"/>
    </row>
    <row r="502" spans="1:12" ht="25.5">
      <c r="A502" s="189" t="s">
        <v>1238</v>
      </c>
      <c r="B502" s="73" t="s">
        <v>430</v>
      </c>
      <c r="C502" s="74" t="s">
        <v>1734</v>
      </c>
      <c r="D502" s="69">
        <f>+ROUND('9. Alimentazione CE Ricavi'!E353,2)</f>
        <v>60049.45</v>
      </c>
      <c r="E502" s="69">
        <f>+ROUND('9. Alimentazione CE Ricavi'!F353,2)</f>
        <v>0</v>
      </c>
      <c r="F502" s="290"/>
      <c r="G502" s="196"/>
      <c r="H502" s="70"/>
      <c r="J502" s="66"/>
      <c r="L502" s="70"/>
    </row>
    <row r="503" spans="1:12" ht="18.75">
      <c r="A503" s="189"/>
      <c r="B503" s="110" t="s">
        <v>431</v>
      </c>
      <c r="C503" s="111" t="s">
        <v>1735</v>
      </c>
      <c r="D503" s="109">
        <f t="shared" ref="D503" si="191">SUM(D504:D510)</f>
        <v>2642027.11</v>
      </c>
      <c r="E503" s="109">
        <f t="shared" ref="E503" si="192">SUM(E504:E510)</f>
        <v>100101.94</v>
      </c>
      <c r="F503" s="56" t="s">
        <v>1820</v>
      </c>
      <c r="G503" s="196"/>
      <c r="H503" s="70"/>
      <c r="J503" s="66"/>
      <c r="L503" s="70"/>
    </row>
    <row r="504" spans="1:12" ht="25.5">
      <c r="A504" s="189" t="s">
        <v>1283</v>
      </c>
      <c r="B504" s="75" t="s">
        <v>433</v>
      </c>
      <c r="C504" s="76" t="s">
        <v>1736</v>
      </c>
      <c r="D504" s="69">
        <f>+ROUND('9. Alimentazione CE Ricavi'!E356,2)</f>
        <v>0</v>
      </c>
      <c r="E504" s="69">
        <f>+ROUND('9. Alimentazione CE Ricavi'!F356,2)</f>
        <v>0</v>
      </c>
      <c r="F504" s="290"/>
      <c r="G504" s="196"/>
      <c r="H504" s="70"/>
      <c r="J504" s="66"/>
      <c r="L504" s="70"/>
    </row>
    <row r="505" spans="1:12" ht="25.5">
      <c r="A505" s="189"/>
      <c r="B505" s="75" t="s">
        <v>435</v>
      </c>
      <c r="C505" s="76" t="s">
        <v>1737</v>
      </c>
      <c r="D505" s="69">
        <f>+ROUND('9. Alimentazione CE Ricavi'!E358,2)</f>
        <v>3093.92</v>
      </c>
      <c r="E505" s="69">
        <f>+ROUND('9. Alimentazione CE Ricavi'!F358,2)</f>
        <v>0</v>
      </c>
      <c r="F505" s="290"/>
      <c r="G505" s="196"/>
      <c r="H505" s="70"/>
      <c r="J505" s="66"/>
      <c r="L505" s="70"/>
    </row>
    <row r="506" spans="1:12" ht="25.5">
      <c r="A506" s="189"/>
      <c r="B506" s="75" t="s">
        <v>437</v>
      </c>
      <c r="C506" s="76" t="s">
        <v>1738</v>
      </c>
      <c r="D506" s="69">
        <f>+ROUND('9. Alimentazione CE Ricavi'!E360,2)</f>
        <v>0</v>
      </c>
      <c r="E506" s="69">
        <f>+ROUND('9. Alimentazione CE Ricavi'!F360,2)</f>
        <v>0</v>
      </c>
      <c r="F506" s="290"/>
      <c r="G506" s="196"/>
      <c r="H506" s="70"/>
      <c r="J506" s="66"/>
      <c r="L506" s="70"/>
    </row>
    <row r="507" spans="1:12" ht="25.5">
      <c r="A507" s="189"/>
      <c r="B507" s="75" t="s">
        <v>439</v>
      </c>
      <c r="C507" s="76" t="s">
        <v>1739</v>
      </c>
      <c r="D507" s="69">
        <f>+ROUND('9. Alimentazione CE Ricavi'!E362,2)</f>
        <v>0</v>
      </c>
      <c r="E507" s="69">
        <f>+ROUND('9. Alimentazione CE Ricavi'!F362,2)</f>
        <v>0</v>
      </c>
      <c r="F507" s="290"/>
      <c r="G507" s="196"/>
      <c r="H507" s="70"/>
      <c r="J507" s="66"/>
      <c r="L507" s="70"/>
    </row>
    <row r="508" spans="1:12" ht="25.5">
      <c r="A508" s="189"/>
      <c r="B508" s="75" t="s">
        <v>441</v>
      </c>
      <c r="C508" s="76" t="s">
        <v>1740</v>
      </c>
      <c r="D508" s="69">
        <f>+ROUND('9. Alimentazione CE Ricavi'!E364,2)</f>
        <v>0</v>
      </c>
      <c r="E508" s="69">
        <f>+ROUND('9. Alimentazione CE Ricavi'!F364,2)</f>
        <v>0</v>
      </c>
      <c r="F508" s="290"/>
      <c r="G508" s="196"/>
      <c r="H508" s="70"/>
      <c r="J508" s="66"/>
      <c r="L508" s="70"/>
    </row>
    <row r="509" spans="1:12" ht="25.5">
      <c r="A509" s="189"/>
      <c r="B509" s="75" t="s">
        <v>443</v>
      </c>
      <c r="C509" s="76" t="s">
        <v>1741</v>
      </c>
      <c r="D509" s="69">
        <f>+ROUND('9. Alimentazione CE Ricavi'!E366,2)</f>
        <v>321.62</v>
      </c>
      <c r="E509" s="69">
        <f>+ROUND('9. Alimentazione CE Ricavi'!F366,2)</f>
        <v>101.94</v>
      </c>
      <c r="F509" s="290"/>
      <c r="G509" s="196"/>
      <c r="H509" s="70"/>
      <c r="J509" s="66"/>
      <c r="L509" s="70"/>
    </row>
    <row r="510" spans="1:12" ht="18.75">
      <c r="A510" s="189"/>
      <c r="B510" s="75" t="s">
        <v>445</v>
      </c>
      <c r="C510" s="76" t="s">
        <v>1742</v>
      </c>
      <c r="D510" s="69">
        <f>+ROUND('9. Alimentazione CE Ricavi'!E368,2)</f>
        <v>2638611.5699999998</v>
      </c>
      <c r="E510" s="69">
        <f>+ROUND('9. Alimentazione CE Ricavi'!F368,2)</f>
        <v>100000</v>
      </c>
      <c r="F510" s="290"/>
      <c r="G510" s="196"/>
      <c r="H510" s="70"/>
      <c r="J510" s="66"/>
      <c r="L510" s="70"/>
    </row>
    <row r="511" spans="1:12" ht="18.75">
      <c r="A511" s="189"/>
      <c r="B511" s="104" t="s">
        <v>1743</v>
      </c>
      <c r="C511" s="105" t="s">
        <v>1744</v>
      </c>
      <c r="D511" s="106">
        <f t="shared" ref="D511" si="193">+D512+D513</f>
        <v>22179.18</v>
      </c>
      <c r="E511" s="106">
        <f t="shared" ref="E511" si="194">+E512+E513</f>
        <v>357.54</v>
      </c>
      <c r="F511" s="56" t="s">
        <v>1820</v>
      </c>
      <c r="G511" s="196"/>
      <c r="H511" s="70"/>
      <c r="J511" s="66"/>
      <c r="L511" s="70"/>
    </row>
    <row r="512" spans="1:12" ht="25.5">
      <c r="A512" s="187" t="s">
        <v>1238</v>
      </c>
      <c r="B512" s="73" t="s">
        <v>447</v>
      </c>
      <c r="C512" s="74" t="s">
        <v>1745</v>
      </c>
      <c r="D512" s="69">
        <f>+ROUND('9. Alimentazione CE Ricavi'!E371,2)</f>
        <v>0</v>
      </c>
      <c r="E512" s="69">
        <f>+ROUND('9. Alimentazione CE Ricavi'!F371,2)</f>
        <v>0</v>
      </c>
      <c r="F512" s="56"/>
      <c r="G512" s="196"/>
      <c r="H512" s="70"/>
      <c r="J512" s="66"/>
      <c r="L512" s="70"/>
    </row>
    <row r="513" spans="1:12" ht="18.75">
      <c r="A513" s="187"/>
      <c r="B513" s="110" t="s">
        <v>1746</v>
      </c>
      <c r="C513" s="111" t="s">
        <v>1747</v>
      </c>
      <c r="D513" s="109">
        <f t="shared" ref="D513" si="195">SUM(D514:D520)</f>
        <v>22179.18</v>
      </c>
      <c r="E513" s="109">
        <f t="shared" ref="E513" si="196">SUM(E514:E520)</f>
        <v>357.54</v>
      </c>
      <c r="F513" s="56" t="s">
        <v>1820</v>
      </c>
      <c r="G513" s="196"/>
      <c r="H513" s="70"/>
      <c r="J513" s="66"/>
      <c r="L513" s="70"/>
    </row>
    <row r="514" spans="1:12" ht="25.5">
      <c r="A514" s="187" t="s">
        <v>1283</v>
      </c>
      <c r="B514" s="75" t="s">
        <v>449</v>
      </c>
      <c r="C514" s="76" t="s">
        <v>1748</v>
      </c>
      <c r="D514" s="69">
        <f>+ROUND('9. Alimentazione CE Ricavi'!E374,2)</f>
        <v>0</v>
      </c>
      <c r="E514" s="69">
        <f>+ROUND('9. Alimentazione CE Ricavi'!F374,2)</f>
        <v>0</v>
      </c>
      <c r="F514" s="56"/>
      <c r="G514" s="196"/>
      <c r="H514" s="70"/>
      <c r="J514" s="66"/>
      <c r="L514" s="70"/>
    </row>
    <row r="515" spans="1:12" ht="18.75">
      <c r="A515" s="187"/>
      <c r="B515" s="75" t="s">
        <v>451</v>
      </c>
      <c r="C515" s="76" t="s">
        <v>1749</v>
      </c>
      <c r="D515" s="69">
        <f>+ROUND('9. Alimentazione CE Ricavi'!E376,2)</f>
        <v>0</v>
      </c>
      <c r="E515" s="69">
        <f>+ROUND('9. Alimentazione CE Ricavi'!F376,2)</f>
        <v>0</v>
      </c>
      <c r="F515" s="56"/>
      <c r="G515" s="196"/>
      <c r="H515" s="70"/>
      <c r="J515" s="66"/>
      <c r="L515" s="70"/>
    </row>
    <row r="516" spans="1:12" ht="25.5">
      <c r="A516" s="187"/>
      <c r="B516" s="75" t="s">
        <v>453</v>
      </c>
      <c r="C516" s="76" t="s">
        <v>1750</v>
      </c>
      <c r="D516" s="69">
        <f>+ROUND('9. Alimentazione CE Ricavi'!E378,2)</f>
        <v>0</v>
      </c>
      <c r="E516" s="69">
        <f>+ROUND('9. Alimentazione CE Ricavi'!F378,2)</f>
        <v>0</v>
      </c>
      <c r="F516" s="56"/>
      <c r="G516" s="196"/>
      <c r="H516" s="70"/>
      <c r="J516" s="66"/>
      <c r="L516" s="70"/>
    </row>
    <row r="517" spans="1:12" ht="25.5">
      <c r="A517" s="187"/>
      <c r="B517" s="75" t="s">
        <v>455</v>
      </c>
      <c r="C517" s="76" t="s">
        <v>1751</v>
      </c>
      <c r="D517" s="69">
        <f>+ROUND('9. Alimentazione CE Ricavi'!E380,2)</f>
        <v>0</v>
      </c>
      <c r="E517" s="69">
        <f>+ROUND('9. Alimentazione CE Ricavi'!F380,2)</f>
        <v>0</v>
      </c>
      <c r="F517" s="56"/>
      <c r="G517" s="196"/>
      <c r="H517" s="70"/>
      <c r="J517" s="66"/>
      <c r="L517" s="70"/>
    </row>
    <row r="518" spans="1:12" ht="25.5">
      <c r="A518" s="187"/>
      <c r="B518" s="75" t="s">
        <v>457</v>
      </c>
      <c r="C518" s="76" t="s">
        <v>1752</v>
      </c>
      <c r="D518" s="69">
        <f>+ROUND('9. Alimentazione CE Ricavi'!E382,2)</f>
        <v>0</v>
      </c>
      <c r="E518" s="69">
        <f>+ROUND('9. Alimentazione CE Ricavi'!F382,2)</f>
        <v>0</v>
      </c>
      <c r="F518" s="56"/>
      <c r="G518" s="196"/>
      <c r="H518" s="70"/>
      <c r="J518" s="66"/>
      <c r="L518" s="70"/>
    </row>
    <row r="519" spans="1:12" ht="25.5">
      <c r="A519" s="187"/>
      <c r="B519" s="75" t="s">
        <v>459</v>
      </c>
      <c r="C519" s="76" t="s">
        <v>1753</v>
      </c>
      <c r="D519" s="69">
        <f>+ROUND('9. Alimentazione CE Ricavi'!E384,2)</f>
        <v>0</v>
      </c>
      <c r="E519" s="69">
        <f>+ROUND('9. Alimentazione CE Ricavi'!F384,2)</f>
        <v>0</v>
      </c>
      <c r="F519" s="56"/>
      <c r="G519" s="196"/>
      <c r="H519" s="70"/>
      <c r="J519" s="66"/>
      <c r="L519" s="70"/>
    </row>
    <row r="520" spans="1:12" ht="18.75">
      <c r="A520" s="187"/>
      <c r="B520" s="75" t="s">
        <v>461</v>
      </c>
      <c r="C520" s="76" t="s">
        <v>1754</v>
      </c>
      <c r="D520" s="69">
        <f>+ROUND('9. Alimentazione CE Ricavi'!E386,2)</f>
        <v>22179.18</v>
      </c>
      <c r="E520" s="69">
        <f>+ROUND('9. Alimentazione CE Ricavi'!F386,2)</f>
        <v>357.54</v>
      </c>
      <c r="F520" s="56"/>
      <c r="G520" s="196"/>
      <c r="H520" s="70"/>
      <c r="J520" s="66"/>
      <c r="L520" s="70"/>
    </row>
    <row r="521" spans="1:12" ht="18.75">
      <c r="A521" s="187"/>
      <c r="B521" s="73" t="s">
        <v>462</v>
      </c>
      <c r="C521" s="74" t="s">
        <v>1755</v>
      </c>
      <c r="D521" s="69">
        <f>+ROUND('9. Alimentazione CE Ricavi'!E388,2)</f>
        <v>415.25</v>
      </c>
      <c r="E521" s="69">
        <f>+ROUND('9. Alimentazione CE Ricavi'!F388,2)</f>
        <v>1400.61</v>
      </c>
      <c r="F521" s="56"/>
      <c r="G521" s="196"/>
      <c r="H521" s="70"/>
      <c r="J521" s="66"/>
      <c r="L521" s="70"/>
    </row>
    <row r="522" spans="1:12" ht="18.75">
      <c r="A522" s="187"/>
      <c r="B522" s="98" t="s">
        <v>1146</v>
      </c>
      <c r="C522" s="99" t="s">
        <v>1756</v>
      </c>
      <c r="D522" s="100">
        <f t="shared" ref="D522" si="197">+D523+D524</f>
        <v>181511.41999999998</v>
      </c>
      <c r="E522" s="100">
        <f t="shared" ref="E522" si="198">+E523+E524</f>
        <v>370438.44</v>
      </c>
      <c r="F522" s="56"/>
      <c r="G522" s="196"/>
      <c r="H522" s="70"/>
      <c r="J522" s="66"/>
      <c r="L522" s="70"/>
    </row>
    <row r="523" spans="1:12" ht="18.75">
      <c r="A523" s="187"/>
      <c r="B523" s="71" t="s">
        <v>1148</v>
      </c>
      <c r="C523" s="72" t="s">
        <v>1757</v>
      </c>
      <c r="D523" s="69">
        <f>+ROUND('10. Alimentazione CE Costi'!E1122,2)</f>
        <v>0</v>
      </c>
      <c r="E523" s="69">
        <f>+ROUND('10. Alimentazione CE Costi'!F1122,2)</f>
        <v>0</v>
      </c>
      <c r="F523" s="56"/>
      <c r="G523" s="196"/>
      <c r="H523" s="70"/>
      <c r="J523" s="66"/>
      <c r="L523" s="70"/>
    </row>
    <row r="524" spans="1:12" ht="18.75">
      <c r="A524" s="187"/>
      <c r="B524" s="93" t="s">
        <v>1150</v>
      </c>
      <c r="C524" s="94" t="s">
        <v>1758</v>
      </c>
      <c r="D524" s="92">
        <f>+D525+D526+D527+D542+D553</f>
        <v>181511.41999999998</v>
      </c>
      <c r="E524" s="92">
        <f t="shared" ref="E524" si="199">+E525+E526+E527+E542+E553</f>
        <v>370438.44</v>
      </c>
      <c r="F524" s="56"/>
      <c r="G524" s="196"/>
      <c r="H524" s="70"/>
      <c r="J524" s="66"/>
      <c r="L524" s="70"/>
    </row>
    <row r="525" spans="1:12" ht="18.75">
      <c r="A525" s="187"/>
      <c r="B525" s="73" t="s">
        <v>1152</v>
      </c>
      <c r="C525" s="74" t="s">
        <v>1759</v>
      </c>
      <c r="D525" s="69">
        <f>+ROUND('10. Alimentazione CE Costi'!E1125,2)</f>
        <v>0</v>
      </c>
      <c r="E525" s="69">
        <f>+ROUND('10. Alimentazione CE Costi'!F1125,2)</f>
        <v>0</v>
      </c>
      <c r="F525" s="56"/>
      <c r="G525" s="196"/>
      <c r="H525" s="70"/>
      <c r="J525" s="66"/>
      <c r="L525" s="70"/>
    </row>
    <row r="526" spans="1:12" ht="18.75">
      <c r="A526" s="187"/>
      <c r="B526" s="73" t="s">
        <v>1154</v>
      </c>
      <c r="C526" s="74" t="s">
        <v>1760</v>
      </c>
      <c r="D526" s="69">
        <f>+ROUND('10. Alimentazione CE Costi'!E1127,2)</f>
        <v>0</v>
      </c>
      <c r="E526" s="69">
        <f>+ROUND('10. Alimentazione CE Costi'!F1127,2)</f>
        <v>0</v>
      </c>
      <c r="F526" s="56"/>
      <c r="G526" s="196"/>
      <c r="H526" s="70"/>
      <c r="J526" s="66"/>
      <c r="L526" s="70"/>
    </row>
    <row r="527" spans="1:12" ht="18.75">
      <c r="A527" s="187"/>
      <c r="B527" s="104" t="s">
        <v>1155</v>
      </c>
      <c r="C527" s="105" t="s">
        <v>1761</v>
      </c>
      <c r="D527" s="106">
        <f t="shared" ref="D527" si="200">+D528+D531</f>
        <v>160363.38</v>
      </c>
      <c r="E527" s="106">
        <f t="shared" ref="E527" si="201">+E528+E531</f>
        <v>360558.36</v>
      </c>
      <c r="F527" s="56"/>
      <c r="G527" s="196"/>
      <c r="H527" s="70"/>
      <c r="J527" s="66"/>
      <c r="L527" s="70"/>
    </row>
    <row r="528" spans="1:12" ht="25.5">
      <c r="A528" s="187" t="s">
        <v>1238</v>
      </c>
      <c r="B528" s="110" t="s">
        <v>1156</v>
      </c>
      <c r="C528" s="111" t="s">
        <v>1762</v>
      </c>
      <c r="D528" s="109">
        <f t="shared" ref="D528" si="202">+D529+D530</f>
        <v>114209.15</v>
      </c>
      <c r="E528" s="109">
        <f t="shared" ref="E528" si="203">+E529+E530</f>
        <v>218544.43</v>
      </c>
      <c r="F528" s="56"/>
      <c r="G528" s="196"/>
      <c r="H528" s="70"/>
      <c r="J528" s="66"/>
      <c r="L528" s="70"/>
    </row>
    <row r="529" spans="1:12" ht="25.5">
      <c r="A529" s="187" t="s">
        <v>1238</v>
      </c>
      <c r="B529" s="75" t="s">
        <v>1158</v>
      </c>
      <c r="C529" s="76" t="s">
        <v>1763</v>
      </c>
      <c r="D529" s="69">
        <f>+ROUND('10. Alimentazione CE Costi'!E1131,2)</f>
        <v>0</v>
      </c>
      <c r="E529" s="69">
        <f>+ROUND('10. Alimentazione CE Costi'!F1131,2)</f>
        <v>0</v>
      </c>
      <c r="F529" s="56"/>
      <c r="G529" s="196"/>
      <c r="H529" s="70"/>
      <c r="J529" s="66"/>
      <c r="L529" s="70"/>
    </row>
    <row r="530" spans="1:12" ht="25.5">
      <c r="A530" s="187" t="s">
        <v>1238</v>
      </c>
      <c r="B530" s="75" t="s">
        <v>1160</v>
      </c>
      <c r="C530" s="76" t="s">
        <v>1764</v>
      </c>
      <c r="D530" s="69">
        <f>+ROUND('10. Alimentazione CE Costi'!E1133,2)</f>
        <v>114209.15</v>
      </c>
      <c r="E530" s="69">
        <f>+ROUND('10. Alimentazione CE Costi'!F1133,2)</f>
        <v>218544.43</v>
      </c>
      <c r="F530" s="56"/>
      <c r="G530" s="196"/>
      <c r="H530" s="70"/>
      <c r="J530" s="66"/>
      <c r="L530" s="70"/>
    </row>
    <row r="531" spans="1:12" ht="18.75">
      <c r="A531" s="187"/>
      <c r="B531" s="110" t="s">
        <v>1161</v>
      </c>
      <c r="C531" s="111" t="s">
        <v>1765</v>
      </c>
      <c r="D531" s="109">
        <f t="shared" ref="D531" si="204">+D532+D533+D537+D538+D539+D540+D541</f>
        <v>46154.229999999996</v>
      </c>
      <c r="E531" s="109">
        <f t="shared" ref="E531" si="205">+E532+E533+E537+E538+E539+E540+E541</f>
        <v>142013.93</v>
      </c>
      <c r="F531" s="56"/>
      <c r="G531" s="196"/>
      <c r="H531" s="70"/>
      <c r="J531" s="66"/>
      <c r="L531" s="70"/>
    </row>
    <row r="532" spans="1:12" ht="25.5">
      <c r="A532" s="187" t="s">
        <v>1283</v>
      </c>
      <c r="B532" s="75" t="s">
        <v>1163</v>
      </c>
      <c r="C532" s="76" t="s">
        <v>1766</v>
      </c>
      <c r="D532" s="69">
        <f>+ROUND('10. Alimentazione CE Costi'!E1136,2)</f>
        <v>0</v>
      </c>
      <c r="E532" s="69">
        <f>+ROUND('10. Alimentazione CE Costi'!F1136,2)</f>
        <v>0</v>
      </c>
      <c r="F532" s="56"/>
      <c r="G532" s="196"/>
      <c r="H532" s="70"/>
      <c r="J532" s="66"/>
      <c r="L532" s="70"/>
    </row>
    <row r="533" spans="1:12" ht="25.5">
      <c r="A533" s="187"/>
      <c r="B533" s="125" t="s">
        <v>1164</v>
      </c>
      <c r="C533" s="126" t="s">
        <v>1767</v>
      </c>
      <c r="D533" s="127">
        <f t="shared" ref="D533" si="206">+D534+D535+D536</f>
        <v>0</v>
      </c>
      <c r="E533" s="127">
        <f t="shared" ref="E533" si="207">+E534+E535+E536</f>
        <v>6.84</v>
      </c>
      <c r="F533" s="56"/>
      <c r="G533" s="196"/>
      <c r="H533" s="70"/>
      <c r="J533" s="66"/>
      <c r="L533" s="70"/>
    </row>
    <row r="534" spans="1:12" ht="25.5">
      <c r="A534" s="187"/>
      <c r="B534" s="73" t="s">
        <v>1166</v>
      </c>
      <c r="C534" s="74" t="s">
        <v>1768</v>
      </c>
      <c r="D534" s="69">
        <f>+ROUND('10. Alimentazione CE Costi'!E1139,2)</f>
        <v>0</v>
      </c>
      <c r="E534" s="69">
        <f>+ROUND('10. Alimentazione CE Costi'!F1139,2)</f>
        <v>0</v>
      </c>
      <c r="F534" s="56"/>
      <c r="G534" s="196"/>
      <c r="H534" s="70"/>
      <c r="J534" s="66"/>
      <c r="L534" s="70"/>
    </row>
    <row r="535" spans="1:12" ht="25.5">
      <c r="A535" s="187"/>
      <c r="B535" s="73" t="s">
        <v>1168</v>
      </c>
      <c r="C535" s="74" t="s">
        <v>1769</v>
      </c>
      <c r="D535" s="69">
        <f>+ROUND('10. Alimentazione CE Costi'!E1141,2)</f>
        <v>0</v>
      </c>
      <c r="E535" s="69">
        <f>+ROUND('10. Alimentazione CE Costi'!F1141,2)</f>
        <v>0</v>
      </c>
      <c r="F535" s="56"/>
      <c r="G535" s="196"/>
      <c r="H535" s="70"/>
      <c r="J535" s="66"/>
      <c r="L535" s="70"/>
    </row>
    <row r="536" spans="1:12" ht="25.5">
      <c r="A536" s="187"/>
      <c r="B536" s="73" t="s">
        <v>1170</v>
      </c>
      <c r="C536" s="74" t="s">
        <v>1770</v>
      </c>
      <c r="D536" s="69">
        <f>+ROUND('10. Alimentazione CE Costi'!E1143,2)</f>
        <v>0</v>
      </c>
      <c r="E536" s="69">
        <f>+ROUND('10. Alimentazione CE Costi'!F1143,2)</f>
        <v>6.84</v>
      </c>
      <c r="F536" s="56"/>
      <c r="G536" s="196"/>
      <c r="H536" s="70"/>
      <c r="J536" s="66"/>
      <c r="L536" s="70"/>
    </row>
    <row r="537" spans="1:12" ht="25.5">
      <c r="A537" s="187"/>
      <c r="B537" s="75" t="s">
        <v>1172</v>
      </c>
      <c r="C537" s="76" t="s">
        <v>1771</v>
      </c>
      <c r="D537" s="69">
        <f>+ROUND('10. Alimentazione CE Costi'!E1145,2)</f>
        <v>0</v>
      </c>
      <c r="E537" s="69">
        <f>+ROUND('10. Alimentazione CE Costi'!F1145,2)</f>
        <v>0</v>
      </c>
      <c r="F537" s="56"/>
      <c r="G537" s="196"/>
      <c r="H537" s="70"/>
      <c r="J537" s="66"/>
      <c r="L537" s="70"/>
    </row>
    <row r="538" spans="1:12" ht="25.5">
      <c r="A538" s="187"/>
      <c r="B538" s="75" t="s">
        <v>1174</v>
      </c>
      <c r="C538" s="76" t="s">
        <v>1772</v>
      </c>
      <c r="D538" s="69">
        <f>+ROUND('10. Alimentazione CE Costi'!E1147,2)</f>
        <v>0</v>
      </c>
      <c r="E538" s="69">
        <f>+ROUND('10. Alimentazione CE Costi'!F1147,2)</f>
        <v>0</v>
      </c>
      <c r="F538" s="56"/>
      <c r="G538" s="196"/>
      <c r="H538" s="70"/>
      <c r="J538" s="66"/>
      <c r="L538" s="70"/>
    </row>
    <row r="539" spans="1:12" ht="25.5">
      <c r="A539" s="187"/>
      <c r="B539" s="75" t="s">
        <v>1176</v>
      </c>
      <c r="C539" s="76" t="s">
        <v>1773</v>
      </c>
      <c r="D539" s="69">
        <f>+ROUND('10. Alimentazione CE Costi'!E1149,2)</f>
        <v>0</v>
      </c>
      <c r="E539" s="69">
        <f>+ROUND('10. Alimentazione CE Costi'!F1149,2)</f>
        <v>0</v>
      </c>
      <c r="F539" s="56"/>
      <c r="G539" s="196"/>
      <c r="H539" s="70"/>
      <c r="J539" s="66"/>
      <c r="L539" s="70"/>
    </row>
    <row r="540" spans="1:12" ht="25.5">
      <c r="A540" s="187"/>
      <c r="B540" s="75" t="s">
        <v>1178</v>
      </c>
      <c r="C540" s="76" t="s">
        <v>1774</v>
      </c>
      <c r="D540" s="69">
        <f>+ROUND('10. Alimentazione CE Costi'!E1151,2)</f>
        <v>2180.34</v>
      </c>
      <c r="E540" s="69">
        <f>+ROUND('10. Alimentazione CE Costi'!F1151,2)</f>
        <v>44149.81</v>
      </c>
      <c r="F540" s="56"/>
      <c r="G540" s="196"/>
      <c r="H540" s="70"/>
      <c r="J540" s="66"/>
      <c r="L540" s="70"/>
    </row>
    <row r="541" spans="1:12" ht="18.75">
      <c r="A541" s="187"/>
      <c r="B541" s="75" t="s">
        <v>1180</v>
      </c>
      <c r="C541" s="76" t="s">
        <v>1775</v>
      </c>
      <c r="D541" s="69">
        <f>+ROUND('10. Alimentazione CE Costi'!E1153,2)</f>
        <v>43973.89</v>
      </c>
      <c r="E541" s="69">
        <f>+ROUND('10. Alimentazione CE Costi'!F1153,2)</f>
        <v>97857.279999999999</v>
      </c>
      <c r="F541" s="56"/>
      <c r="G541" s="196"/>
      <c r="H541" s="70"/>
      <c r="J541" s="66"/>
      <c r="L541" s="70"/>
    </row>
    <row r="542" spans="1:12" ht="18.75">
      <c r="A542" s="187"/>
      <c r="B542" s="104" t="s">
        <v>1181</v>
      </c>
      <c r="C542" s="105" t="s">
        <v>1776</v>
      </c>
      <c r="D542" s="106">
        <f t="shared" ref="D542" si="208">+D543+D544+D545</f>
        <v>11786.15</v>
      </c>
      <c r="E542" s="106">
        <f t="shared" ref="E542" si="209">+E543+E544+E545</f>
        <v>8997.0499999999993</v>
      </c>
      <c r="F542" s="56"/>
      <c r="G542" s="196"/>
      <c r="H542" s="70"/>
      <c r="J542" s="66"/>
      <c r="L542" s="70"/>
    </row>
    <row r="543" spans="1:12" ht="18.75">
      <c r="A543" s="189"/>
      <c r="B543" s="73" t="s">
        <v>1183</v>
      </c>
      <c r="C543" s="74" t="s">
        <v>1777</v>
      </c>
      <c r="D543" s="69">
        <f>+ROUND('10. Alimentazione CE Costi'!E1156,2)</f>
        <v>0</v>
      </c>
      <c r="E543" s="69">
        <f>+ROUND('10. Alimentazione CE Costi'!F1156,2)</f>
        <v>0</v>
      </c>
      <c r="F543" s="290"/>
      <c r="G543" s="196"/>
      <c r="H543" s="70"/>
      <c r="J543" s="66"/>
      <c r="L543" s="70"/>
    </row>
    <row r="544" spans="1:12" ht="25.5">
      <c r="A544" s="189" t="s">
        <v>1238</v>
      </c>
      <c r="B544" s="73" t="s">
        <v>1185</v>
      </c>
      <c r="C544" s="74" t="s">
        <v>1778</v>
      </c>
      <c r="D544" s="69">
        <f>+ROUND('10. Alimentazione CE Costi'!E1158,2)</f>
        <v>130.63999999999999</v>
      </c>
      <c r="E544" s="69">
        <f>+ROUND('10. Alimentazione CE Costi'!F1158,2)</f>
        <v>0</v>
      </c>
      <c r="F544" s="290"/>
      <c r="G544" s="196"/>
      <c r="H544" s="70"/>
      <c r="J544" s="66"/>
      <c r="L544" s="70"/>
    </row>
    <row r="545" spans="1:12" ht="18.75">
      <c r="A545" s="189"/>
      <c r="B545" s="110" t="s">
        <v>1186</v>
      </c>
      <c r="C545" s="111" t="s">
        <v>1779</v>
      </c>
      <c r="D545" s="109">
        <f t="shared" ref="D545" si="210">SUM(D546:D552)</f>
        <v>11655.51</v>
      </c>
      <c r="E545" s="109">
        <f t="shared" ref="E545" si="211">SUM(E546:E552)</f>
        <v>8997.0499999999993</v>
      </c>
      <c r="F545" s="56"/>
      <c r="G545" s="196"/>
      <c r="H545" s="70"/>
      <c r="J545" s="66"/>
      <c r="L545" s="70"/>
    </row>
    <row r="546" spans="1:12" ht="25.5">
      <c r="A546" s="189" t="s">
        <v>1283</v>
      </c>
      <c r="B546" s="75" t="s">
        <v>1188</v>
      </c>
      <c r="C546" s="76" t="s">
        <v>1780</v>
      </c>
      <c r="D546" s="69">
        <f>+ROUND('10. Alimentazione CE Costi'!E1161,2)</f>
        <v>0</v>
      </c>
      <c r="E546" s="69">
        <f>+ROUND('10. Alimentazione CE Costi'!F1161,2)</f>
        <v>0</v>
      </c>
      <c r="F546" s="290"/>
      <c r="G546" s="196"/>
      <c r="H546" s="70"/>
      <c r="J546" s="66"/>
      <c r="L546" s="70"/>
    </row>
    <row r="547" spans="1:12" ht="25.5">
      <c r="A547" s="189"/>
      <c r="B547" s="75" t="s">
        <v>1190</v>
      </c>
      <c r="C547" s="76" t="s">
        <v>1781</v>
      </c>
      <c r="D547" s="69">
        <f>+ROUND('10. Alimentazione CE Costi'!E1163,2)</f>
        <v>0</v>
      </c>
      <c r="E547" s="69">
        <f>+ROUND('10. Alimentazione CE Costi'!F1163,2)</f>
        <v>0</v>
      </c>
      <c r="F547" s="290"/>
      <c r="G547" s="196"/>
      <c r="H547" s="70"/>
      <c r="J547" s="66"/>
      <c r="L547" s="70"/>
    </row>
    <row r="548" spans="1:12" ht="25.5">
      <c r="A548" s="189"/>
      <c r="B548" s="75" t="s">
        <v>1192</v>
      </c>
      <c r="C548" s="76" t="s">
        <v>1782</v>
      </c>
      <c r="D548" s="69">
        <f>+ROUND('10. Alimentazione CE Costi'!E1165,2)</f>
        <v>0</v>
      </c>
      <c r="E548" s="69">
        <f>+ROUND('10. Alimentazione CE Costi'!F1165,2)</f>
        <v>0</v>
      </c>
      <c r="F548" s="290"/>
      <c r="G548" s="196"/>
      <c r="H548" s="70"/>
      <c r="J548" s="66"/>
      <c r="L548" s="70"/>
    </row>
    <row r="549" spans="1:12" ht="25.5">
      <c r="A549" s="189"/>
      <c r="B549" s="75" t="s">
        <v>1194</v>
      </c>
      <c r="C549" s="76" t="s">
        <v>1783</v>
      </c>
      <c r="D549" s="69">
        <f>+ROUND('10. Alimentazione CE Costi'!E1167,2)</f>
        <v>0</v>
      </c>
      <c r="E549" s="69">
        <f>+ROUND('10. Alimentazione CE Costi'!F1167,2)</f>
        <v>0</v>
      </c>
      <c r="F549" s="290"/>
      <c r="G549" s="196"/>
      <c r="H549" s="70"/>
      <c r="J549" s="66"/>
      <c r="L549" s="70"/>
    </row>
    <row r="550" spans="1:12" ht="25.5">
      <c r="A550" s="189"/>
      <c r="B550" s="75" t="s">
        <v>1196</v>
      </c>
      <c r="C550" s="76" t="s">
        <v>1784</v>
      </c>
      <c r="D550" s="69">
        <f>+ROUND('10. Alimentazione CE Costi'!E1169,2)</f>
        <v>0</v>
      </c>
      <c r="E550" s="69">
        <f>+ROUND('10. Alimentazione CE Costi'!F1169,2)</f>
        <v>0</v>
      </c>
      <c r="F550" s="290"/>
      <c r="G550" s="196"/>
      <c r="H550" s="70"/>
      <c r="J550" s="66"/>
      <c r="L550" s="70"/>
    </row>
    <row r="551" spans="1:12" ht="25.5">
      <c r="A551" s="189"/>
      <c r="B551" s="75" t="s">
        <v>1198</v>
      </c>
      <c r="C551" s="76" t="s">
        <v>1785</v>
      </c>
      <c r="D551" s="69">
        <f>+ROUND('10. Alimentazione CE Costi'!E1171,2)</f>
        <v>0</v>
      </c>
      <c r="E551" s="69">
        <f>+ROUND('10. Alimentazione CE Costi'!F1171,2)</f>
        <v>3210.5</v>
      </c>
      <c r="F551" s="290"/>
      <c r="G551" s="196"/>
      <c r="H551" s="70"/>
      <c r="J551" s="66"/>
      <c r="L551" s="70"/>
    </row>
    <row r="552" spans="1:12" ht="18.75">
      <c r="A552" s="189"/>
      <c r="B552" s="75" t="s">
        <v>1200</v>
      </c>
      <c r="C552" s="76" t="s">
        <v>1786</v>
      </c>
      <c r="D552" s="69">
        <f>+ROUND('10. Alimentazione CE Costi'!E1173,2)</f>
        <v>11655.51</v>
      </c>
      <c r="E552" s="69">
        <f>+ROUND('10. Alimentazione CE Costi'!F1173,2)</f>
        <v>5786.55</v>
      </c>
      <c r="F552" s="290"/>
      <c r="G552" s="196"/>
      <c r="H552" s="70"/>
      <c r="J552" s="66"/>
      <c r="L552" s="70"/>
    </row>
    <row r="553" spans="1:12" ht="18.75">
      <c r="A553" s="187"/>
      <c r="B553" s="73" t="s">
        <v>1201</v>
      </c>
      <c r="C553" s="74" t="s">
        <v>1787</v>
      </c>
      <c r="D553" s="69">
        <f>+ROUND('10. Alimentazione CE Costi'!E1175,2)</f>
        <v>9361.89</v>
      </c>
      <c r="E553" s="69">
        <f>+ROUND('10. Alimentazione CE Costi'!F1175,2)</f>
        <v>883.03</v>
      </c>
      <c r="F553" s="56"/>
      <c r="G553" s="196"/>
      <c r="H553" s="84"/>
      <c r="J553" s="66"/>
      <c r="L553" s="70"/>
    </row>
    <row r="554" spans="1:12" ht="18.75">
      <c r="A554" s="187"/>
      <c r="B554" s="101" t="s">
        <v>1788</v>
      </c>
      <c r="C554" s="102" t="s">
        <v>1789</v>
      </c>
      <c r="D554" s="103">
        <f t="shared" ref="D554" si="212">+D496-D522</f>
        <v>4954280.57</v>
      </c>
      <c r="E554" s="103">
        <f t="shared" ref="E554" si="213">+E496-E522</f>
        <v>-251159.63</v>
      </c>
      <c r="F554" s="56"/>
      <c r="G554" s="196"/>
      <c r="H554" s="84"/>
      <c r="J554" s="66"/>
      <c r="L554" s="70"/>
    </row>
    <row r="555" spans="1:12" ht="25.5">
      <c r="A555" s="187"/>
      <c r="B555" s="67" t="s">
        <v>1790</v>
      </c>
      <c r="C555" s="68" t="s">
        <v>1791</v>
      </c>
      <c r="D555" s="69">
        <f>+D137-D471+D490+D494+D554</f>
        <v>3986411.5399999097</v>
      </c>
      <c r="E555" s="69">
        <f t="shared" ref="E555" si="214">+E137-E471+E490+E494+E554</f>
        <v>2296866.0700000571</v>
      </c>
      <c r="F555" s="56"/>
      <c r="G555" s="196"/>
      <c r="H555" s="84"/>
      <c r="J555" s="66"/>
      <c r="L555" s="70"/>
    </row>
    <row r="556" spans="1:12" ht="18.75">
      <c r="A556" s="189"/>
      <c r="B556" s="114"/>
      <c r="C556" s="115" t="s">
        <v>1792</v>
      </c>
      <c r="D556" s="116"/>
      <c r="E556" s="116"/>
      <c r="F556" s="290"/>
      <c r="G556" s="196"/>
      <c r="H556" s="85"/>
      <c r="J556" s="66"/>
      <c r="L556" s="70"/>
    </row>
    <row r="557" spans="1:12" ht="18.75">
      <c r="A557" s="187"/>
      <c r="B557" s="98" t="s">
        <v>1202</v>
      </c>
      <c r="C557" s="99" t="s">
        <v>1793</v>
      </c>
      <c r="D557" s="100">
        <f t="shared" ref="D557" si="215">+D558+D559+D560+D561</f>
        <v>944993.24</v>
      </c>
      <c r="E557" s="100">
        <f t="shared" ref="E557" si="216">+E558+E559+E560+E561</f>
        <v>864089.87</v>
      </c>
      <c r="F557" s="56"/>
      <c r="G557" s="196"/>
      <c r="H557" s="86"/>
      <c r="J557" s="66"/>
      <c r="L557" s="70"/>
    </row>
    <row r="558" spans="1:12" ht="18.75">
      <c r="A558" s="187"/>
      <c r="B558" s="71" t="s">
        <v>1204</v>
      </c>
      <c r="C558" s="72" t="s">
        <v>1794</v>
      </c>
      <c r="D558" s="69">
        <f>+ROUND('10. Alimentazione CE Costi'!E1179,2)</f>
        <v>710792.57</v>
      </c>
      <c r="E558" s="69">
        <f>+ROUND('10. Alimentazione CE Costi'!F1179,2)</f>
        <v>636118.16</v>
      </c>
      <c r="F558" s="56"/>
      <c r="G558" s="196"/>
      <c r="H558" s="85"/>
      <c r="J558" s="66"/>
      <c r="L558" s="70"/>
    </row>
    <row r="559" spans="1:12" ht="25.5">
      <c r="A559" s="187"/>
      <c r="B559" s="71" t="s">
        <v>1206</v>
      </c>
      <c r="C559" s="72" t="s">
        <v>1795</v>
      </c>
      <c r="D559" s="69">
        <f>+ROUND('10. Alimentazione CE Costi'!E1181,2)</f>
        <v>234200.67</v>
      </c>
      <c r="E559" s="69">
        <f>+ROUND('10. Alimentazione CE Costi'!F1181,2)</f>
        <v>227971.71</v>
      </c>
      <c r="F559" s="56"/>
      <c r="G559" s="196"/>
      <c r="H559" s="84"/>
      <c r="J559" s="66"/>
      <c r="L559" s="70"/>
    </row>
    <row r="560" spans="1:12" ht="25.5">
      <c r="A560" s="187"/>
      <c r="B560" s="71" t="s">
        <v>1208</v>
      </c>
      <c r="C560" s="72" t="s">
        <v>1796</v>
      </c>
      <c r="D560" s="69">
        <f>+ROUND('10. Alimentazione CE Costi'!E1183,2)</f>
        <v>0</v>
      </c>
      <c r="E560" s="69">
        <f>+ROUND('10. Alimentazione CE Costi'!F1183,2)</f>
        <v>0</v>
      </c>
      <c r="F560" s="56"/>
      <c r="G560" s="196"/>
      <c r="H560" s="85"/>
      <c r="J560" s="66"/>
      <c r="L560" s="70"/>
    </row>
    <row r="561" spans="1:26" ht="18.75">
      <c r="A561" s="187"/>
      <c r="B561" s="71" t="s">
        <v>1210</v>
      </c>
      <c r="C561" s="72" t="s">
        <v>1797</v>
      </c>
      <c r="D561" s="69">
        <f>+ROUND('10. Alimentazione CE Costi'!E1185,2)</f>
        <v>0</v>
      </c>
      <c r="E561" s="69">
        <f>+ROUND('10. Alimentazione CE Costi'!F1185,2)</f>
        <v>0</v>
      </c>
      <c r="F561" s="56"/>
      <c r="G561" s="196"/>
      <c r="H561" s="85"/>
      <c r="J561" s="66"/>
      <c r="L561" s="70"/>
    </row>
    <row r="562" spans="1:26" ht="18.75">
      <c r="A562" s="187"/>
      <c r="B562" s="98" t="s">
        <v>1211</v>
      </c>
      <c r="C562" s="99" t="s">
        <v>1798</v>
      </c>
      <c r="D562" s="100">
        <f t="shared" ref="D562" si="217">+D563+D564</f>
        <v>166456.82999999999</v>
      </c>
      <c r="E562" s="100">
        <f t="shared" ref="E562" si="218">+E563+E564</f>
        <v>0</v>
      </c>
      <c r="F562" s="56"/>
      <c r="G562" s="196"/>
      <c r="H562" s="85"/>
      <c r="J562" s="66"/>
      <c r="L562" s="70"/>
    </row>
    <row r="563" spans="1:26" ht="18.75">
      <c r="A563" s="187"/>
      <c r="B563" s="71" t="s">
        <v>1213</v>
      </c>
      <c r="C563" s="72" t="s">
        <v>1799</v>
      </c>
      <c r="D563" s="69">
        <f>+ROUND('10. Alimentazione CE Costi'!E1188,2)</f>
        <v>0</v>
      </c>
      <c r="E563" s="69">
        <f>+ROUND('10. Alimentazione CE Costi'!F1188,2)</f>
        <v>0</v>
      </c>
      <c r="F563" s="56"/>
      <c r="G563" s="196"/>
      <c r="H563" s="86"/>
      <c r="J563" s="66"/>
      <c r="L563" s="70"/>
    </row>
    <row r="564" spans="1:26" ht="18.75">
      <c r="A564" s="187"/>
      <c r="B564" s="71" t="s">
        <v>1215</v>
      </c>
      <c r="C564" s="72" t="s">
        <v>1800</v>
      </c>
      <c r="D564" s="69">
        <f>+ROUND('10. Alimentazione CE Costi'!E1190,2)</f>
        <v>166456.82999999999</v>
      </c>
      <c r="E564" s="69">
        <f>+ROUND('10. Alimentazione CE Costi'!F1190,2)</f>
        <v>0</v>
      </c>
      <c r="F564" s="56"/>
      <c r="G564" s="196"/>
      <c r="H564" s="85"/>
      <c r="J564" s="66"/>
      <c r="L564" s="70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25.5">
      <c r="A565" s="189"/>
      <c r="B565" s="67" t="s">
        <v>1217</v>
      </c>
      <c r="C565" s="68" t="s">
        <v>1801</v>
      </c>
      <c r="D565" s="69">
        <f>+ROUND('10. Alimentazione CE Costi'!E1192,2)</f>
        <v>0</v>
      </c>
      <c r="E565" s="69">
        <f>+ROUND('10. Alimentazione CE Costi'!F1192,2)</f>
        <v>0</v>
      </c>
      <c r="F565" s="290"/>
      <c r="G565" s="196"/>
      <c r="H565" s="87"/>
      <c r="J565" s="66"/>
      <c r="L565" s="70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8.75">
      <c r="A566" s="189"/>
      <c r="B566" s="101" t="s">
        <v>1802</v>
      </c>
      <c r="C566" s="102" t="s">
        <v>1803</v>
      </c>
      <c r="D566" s="103">
        <f t="shared" ref="D566" si="219">+D557+D562+D565</f>
        <v>1111450.07</v>
      </c>
      <c r="E566" s="103">
        <f t="shared" ref="E566" si="220">+E557+E562+E565</f>
        <v>864089.87</v>
      </c>
      <c r="F566" s="56"/>
      <c r="G566" s="196"/>
      <c r="H566" s="88"/>
      <c r="J566" s="66"/>
      <c r="L566" s="70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9.5" thickBot="1">
      <c r="A567" s="194"/>
      <c r="B567" s="128" t="s">
        <v>1804</v>
      </c>
      <c r="C567" s="129" t="s">
        <v>1805</v>
      </c>
      <c r="D567" s="130">
        <f t="shared" ref="D567" si="221">+D555-D566</f>
        <v>2874961.4699999094</v>
      </c>
      <c r="E567" s="130">
        <f t="shared" ref="E567" si="222">+E555-E566</f>
        <v>1432776.200000057</v>
      </c>
      <c r="F567" s="56"/>
      <c r="G567" s="196"/>
      <c r="H567" s="88"/>
      <c r="J567" s="66"/>
      <c r="L567" s="70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>
      <c r="A568" s="90"/>
      <c r="B568" s="89"/>
      <c r="C568" s="90"/>
      <c r="D568" s="90"/>
      <c r="E568" s="90"/>
      <c r="F568" s="90"/>
      <c r="G568" s="90"/>
      <c r="H568" s="90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350"/>
    </row>
    <row r="569" spans="1:26" ht="15">
      <c r="A569" s="54"/>
      <c r="C569" s="54"/>
      <c r="D569" s="54"/>
      <c r="E569" s="54"/>
      <c r="F569" s="91"/>
      <c r="G569" s="91"/>
      <c r="H569" s="91"/>
      <c r="N569" s="54"/>
      <c r="O569" s="54"/>
      <c r="P569" s="54"/>
      <c r="Q569" s="54"/>
      <c r="R569" s="54"/>
      <c r="U569" s="54"/>
    </row>
    <row r="570" spans="1:26" ht="15">
      <c r="N570" s="54"/>
      <c r="O570" s="54"/>
      <c r="P570" s="54"/>
      <c r="Q570" s="54"/>
      <c r="R570" s="54"/>
    </row>
    <row r="571" spans="1:26" ht="15">
      <c r="S571" s="54"/>
      <c r="T571" s="54"/>
      <c r="U571" s="54"/>
      <c r="V571" s="54"/>
      <c r="W571" s="54"/>
    </row>
    <row r="572" spans="1:26" ht="15">
      <c r="S572" s="55"/>
      <c r="T572" s="55"/>
      <c r="U572" s="55"/>
      <c r="V572" s="55"/>
      <c r="W572" s="55"/>
    </row>
    <row r="573" spans="1:26" ht="15">
      <c r="S573" s="55"/>
      <c r="T573" s="55"/>
      <c r="U573" s="55"/>
      <c r="V573" s="55"/>
      <c r="W573" s="55"/>
    </row>
    <row r="574" spans="1:26" ht="15">
      <c r="S574" s="55"/>
      <c r="T574" s="55"/>
      <c r="U574" s="55"/>
      <c r="V574" s="55"/>
      <c r="W574" s="55"/>
    </row>
    <row r="575" spans="1:26" ht="15">
      <c r="S575" s="55"/>
      <c r="T575" s="55"/>
      <c r="U575" s="55"/>
      <c r="V575" s="55"/>
      <c r="W575" s="55"/>
    </row>
    <row r="576" spans="1:26" ht="15">
      <c r="S576" s="55"/>
      <c r="T576" s="55"/>
      <c r="U576" s="55"/>
      <c r="V576" s="55"/>
      <c r="W576" s="55"/>
    </row>
    <row r="577" spans="19:23" ht="15">
      <c r="S577" s="55"/>
      <c r="T577" s="55"/>
      <c r="U577" s="55"/>
      <c r="V577" s="55"/>
      <c r="W577" s="55"/>
    </row>
    <row r="578" spans="19:23" ht="15">
      <c r="S578" s="55"/>
      <c r="T578" s="55"/>
      <c r="U578" s="55"/>
      <c r="V578" s="55"/>
      <c r="W578" s="55"/>
    </row>
    <row r="579" spans="19:23" ht="15">
      <c r="S579" s="55"/>
      <c r="T579" s="55"/>
      <c r="U579" s="55"/>
      <c r="V579" s="55"/>
      <c r="W579" s="55"/>
    </row>
    <row r="580" spans="19:23" ht="15">
      <c r="S580" s="55"/>
      <c r="T580" s="55"/>
      <c r="U580" s="55"/>
      <c r="V580" s="55"/>
      <c r="W580" s="55"/>
    </row>
    <row r="581" spans="19:23" ht="15">
      <c r="S581" s="55"/>
      <c r="T581" s="55"/>
      <c r="U581" s="55"/>
      <c r="V581" s="55"/>
      <c r="W581" s="55"/>
    </row>
    <row r="582" spans="19:23" ht="15">
      <c r="S582" s="55"/>
      <c r="T582" s="55"/>
      <c r="U582" s="55"/>
      <c r="V582" s="55"/>
      <c r="W582" s="55"/>
    </row>
    <row r="583" spans="19:23" ht="15">
      <c r="S583" s="55"/>
      <c r="T583" s="55"/>
      <c r="U583" s="55"/>
      <c r="V583" s="55"/>
      <c r="W583" s="55"/>
    </row>
    <row r="584" spans="19:23" ht="15">
      <c r="S584" s="55"/>
      <c r="T584" s="55"/>
      <c r="U584" s="55"/>
      <c r="V584" s="55"/>
      <c r="W584" s="55"/>
    </row>
    <row r="585" spans="19:23" ht="15">
      <c r="S585" s="55"/>
      <c r="T585" s="55"/>
      <c r="U585" s="55"/>
      <c r="V585" s="55"/>
      <c r="W585" s="55"/>
    </row>
    <row r="586" spans="19:23" ht="15">
      <c r="S586" s="55"/>
      <c r="T586" s="55"/>
      <c r="U586" s="55"/>
      <c r="V586" s="55"/>
      <c r="W586" s="55"/>
    </row>
    <row r="587" spans="19:23" ht="15">
      <c r="S587" s="55"/>
      <c r="T587" s="55"/>
      <c r="U587" s="55"/>
      <c r="V587" s="55"/>
      <c r="W587" s="55"/>
    </row>
    <row r="588" spans="19:23" ht="15">
      <c r="S588" s="55"/>
      <c r="T588" s="55"/>
      <c r="U588" s="55"/>
      <c r="V588" s="55"/>
      <c r="W588" s="55"/>
    </row>
    <row r="589" spans="19:23" ht="15">
      <c r="S589" s="55"/>
      <c r="T589" s="55"/>
      <c r="U589" s="55"/>
      <c r="V589" s="55"/>
      <c r="W589" s="55"/>
    </row>
    <row r="590" spans="19:23" ht="15">
      <c r="S590" s="55"/>
      <c r="T590" s="55"/>
      <c r="U590" s="55"/>
      <c r="V590" s="55"/>
      <c r="W590" s="55"/>
    </row>
    <row r="591" spans="19:23" ht="15">
      <c r="S591" s="55"/>
      <c r="T591" s="55"/>
      <c r="U591" s="55"/>
      <c r="V591" s="55"/>
      <c r="W591" s="55"/>
    </row>
    <row r="592" spans="19:23" ht="15">
      <c r="S592" s="55"/>
      <c r="T592" s="55"/>
      <c r="U592" s="55"/>
      <c r="V592" s="55"/>
      <c r="W592" s="55"/>
    </row>
    <row r="593" spans="19:23" ht="15">
      <c r="S593" s="55"/>
      <c r="T593" s="55"/>
      <c r="U593" s="55"/>
      <c r="V593" s="55"/>
      <c r="W593" s="55"/>
    </row>
    <row r="594" spans="19:23" ht="15">
      <c r="S594" s="55"/>
      <c r="T594" s="55"/>
      <c r="U594" s="55"/>
      <c r="V594" s="55"/>
      <c r="W594" s="55"/>
    </row>
    <row r="595" spans="19:23" ht="15">
      <c r="S595" s="55"/>
      <c r="T595" s="55"/>
      <c r="U595" s="55"/>
      <c r="V595" s="55"/>
      <c r="W595" s="55"/>
    </row>
    <row r="596" spans="19:23" ht="15">
      <c r="S596" s="55"/>
      <c r="T596" s="55"/>
      <c r="U596" s="55"/>
      <c r="V596" s="55"/>
      <c r="W596" s="55"/>
    </row>
    <row r="597" spans="19:23" ht="15">
      <c r="S597" s="55"/>
      <c r="T597" s="55"/>
      <c r="U597" s="55"/>
      <c r="V597" s="55"/>
      <c r="W597" s="55"/>
    </row>
    <row r="598" spans="19:23" ht="15">
      <c r="S598" s="55"/>
      <c r="T598" s="55"/>
      <c r="U598" s="55"/>
      <c r="V598" s="55"/>
      <c r="W598" s="55"/>
    </row>
    <row r="599" spans="19:23" ht="15">
      <c r="S599" s="55"/>
      <c r="T599" s="55"/>
      <c r="U599" s="55"/>
      <c r="V599" s="55"/>
      <c r="W599" s="55"/>
    </row>
    <row r="600" spans="19:23" ht="15">
      <c r="S600" s="55"/>
      <c r="T600" s="55"/>
      <c r="U600" s="55"/>
      <c r="V600" s="55"/>
      <c r="W600" s="55"/>
    </row>
    <row r="601" spans="19:23" ht="15">
      <c r="S601" s="55"/>
      <c r="T601" s="55"/>
      <c r="U601" s="55"/>
      <c r="V601" s="55"/>
      <c r="W601" s="55"/>
    </row>
    <row r="602" spans="19:23" ht="15">
      <c r="S602" s="55"/>
      <c r="T602" s="55"/>
      <c r="U602" s="55"/>
      <c r="V602" s="55"/>
      <c r="W602" s="55"/>
    </row>
    <row r="603" spans="19:23" ht="15">
      <c r="S603" s="55"/>
      <c r="T603" s="55"/>
      <c r="U603" s="55"/>
      <c r="V603" s="55"/>
      <c r="W603" s="55"/>
    </row>
    <row r="604" spans="19:23" ht="15">
      <c r="S604" s="55"/>
      <c r="T604" s="55"/>
      <c r="U604" s="55"/>
      <c r="V604" s="55"/>
      <c r="W604" s="55"/>
    </row>
    <row r="605" spans="19:23" ht="15">
      <c r="S605" s="55"/>
      <c r="T605" s="55"/>
      <c r="U605" s="55"/>
      <c r="V605" s="55"/>
      <c r="W605" s="55"/>
    </row>
    <row r="606" spans="19:23" ht="15">
      <c r="S606" s="55"/>
      <c r="T606" s="55"/>
      <c r="U606" s="55"/>
      <c r="V606" s="55"/>
      <c r="W606" s="55"/>
    </row>
    <row r="607" spans="19:23" ht="15">
      <c r="S607" s="55"/>
      <c r="T607" s="55"/>
      <c r="U607" s="55"/>
      <c r="V607" s="55"/>
      <c r="W607" s="55"/>
    </row>
    <row r="608" spans="19:23" ht="15">
      <c r="S608" s="55"/>
      <c r="T608" s="55"/>
      <c r="U608" s="55"/>
      <c r="V608" s="55"/>
      <c r="W608" s="55"/>
    </row>
    <row r="609" spans="19:23" ht="15">
      <c r="S609" s="55"/>
      <c r="T609" s="55"/>
      <c r="U609" s="55"/>
      <c r="V609" s="55"/>
      <c r="W609" s="55"/>
    </row>
    <row r="610" spans="19:23" ht="15">
      <c r="S610" s="55"/>
      <c r="T610" s="55"/>
      <c r="U610" s="55"/>
      <c r="V610" s="55"/>
      <c r="W610" s="55"/>
    </row>
    <row r="611" spans="19:23" ht="15">
      <c r="S611" s="55"/>
      <c r="T611" s="55"/>
      <c r="U611" s="55"/>
      <c r="V611" s="55"/>
      <c r="W611" s="55"/>
    </row>
    <row r="612" spans="19:23" ht="15">
      <c r="S612" s="55"/>
      <c r="T612" s="55"/>
      <c r="U612" s="55"/>
      <c r="V612" s="55"/>
      <c r="W612" s="55"/>
    </row>
    <row r="613" spans="19:23" ht="15">
      <c r="S613" s="55"/>
      <c r="T613" s="55"/>
      <c r="U613" s="55"/>
      <c r="V613" s="55"/>
      <c r="W613" s="55"/>
    </row>
    <row r="614" spans="19:23" ht="15">
      <c r="S614" s="55"/>
      <c r="T614" s="55"/>
      <c r="U614" s="55"/>
      <c r="V614" s="55"/>
      <c r="W614" s="55"/>
    </row>
    <row r="615" spans="19:23" ht="15">
      <c r="S615" s="55"/>
      <c r="T615" s="55"/>
      <c r="U615" s="55"/>
      <c r="V615" s="55"/>
      <c r="W615" s="55"/>
    </row>
    <row r="616" spans="19:23" ht="15">
      <c r="S616" s="55"/>
      <c r="T616" s="55"/>
      <c r="U616" s="55"/>
      <c r="V616" s="55"/>
      <c r="W616" s="55"/>
    </row>
    <row r="617" spans="19:23" ht="15">
      <c r="S617" s="55"/>
      <c r="T617" s="55"/>
      <c r="U617" s="55"/>
      <c r="V617" s="55"/>
      <c r="W617" s="55"/>
    </row>
    <row r="618" spans="19:23" ht="15">
      <c r="S618" s="55"/>
      <c r="T618" s="55"/>
      <c r="U618" s="55"/>
      <c r="V618" s="55"/>
      <c r="W618" s="55"/>
    </row>
    <row r="619" spans="19:23" ht="15">
      <c r="S619" s="55"/>
      <c r="T619" s="55"/>
      <c r="U619" s="55"/>
      <c r="V619" s="55"/>
      <c r="W619" s="55"/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65" firstPageNumber="124" fitToHeight="0" orientation="portrait" useFirstPageNumber="1" r:id="rId1"/>
  <headerFooter>
    <oddFooter>&amp;C&amp;P</oddFoot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15</vt:i4>
      </vt:variant>
    </vt:vector>
  </HeadingPairs>
  <TitlesOfParts>
    <vt:vector size="29" baseType="lpstr">
      <vt:lpstr>2. Schema SP</vt:lpstr>
      <vt:lpstr>3. Schema CE</vt:lpstr>
      <vt:lpstr>4. Rendiconto finanziario</vt:lpstr>
      <vt:lpstr>7. SP Attivo Alim</vt:lpstr>
      <vt:lpstr>8. Alimentazione SP P</vt:lpstr>
      <vt:lpstr>9. Alimentazione CE Ricavi</vt:lpstr>
      <vt:lpstr>10. Alimentazione CE Costi</vt:lpstr>
      <vt:lpstr>11. SP Min</vt:lpstr>
      <vt:lpstr>12. CE Min</vt:lpstr>
      <vt:lpstr>Foglio1</vt:lpstr>
      <vt:lpstr>Foglio2</vt:lpstr>
      <vt:lpstr>Foglio3</vt:lpstr>
      <vt:lpstr>CONFRONTO ARCS ASUFC</vt:lpstr>
      <vt:lpstr>ce art. 44</vt:lpstr>
      <vt:lpstr>'10. Alimentazione CE Costi'!Area_stampa</vt:lpstr>
      <vt:lpstr>'11. SP Min'!Area_stampa</vt:lpstr>
      <vt:lpstr>'12. CE Min'!Area_stampa</vt:lpstr>
      <vt:lpstr>'3. Schema CE'!Area_stampa</vt:lpstr>
      <vt:lpstr>'4. Rendiconto finanziario'!Area_stampa</vt:lpstr>
      <vt:lpstr>'7. SP Attivo Alim'!Area_stampa</vt:lpstr>
      <vt:lpstr>'9. Alimentazione CE Ricavi'!Area_stampa</vt:lpstr>
      <vt:lpstr>'ce art. 44'!Area_stampa</vt:lpstr>
      <vt:lpstr>'10. Alimentazione CE Costi'!Titoli_stampa</vt:lpstr>
      <vt:lpstr>'11. SP Min'!Titoli_stampa</vt:lpstr>
      <vt:lpstr>'12. CE Min'!Titoli_stampa</vt:lpstr>
      <vt:lpstr>'3. Schema CE'!Titoli_stampa</vt:lpstr>
      <vt:lpstr>'7. SP Attivo Alim'!Titoli_stampa</vt:lpstr>
      <vt:lpstr>'8. Alimentazione SP P'!Titoli_stampa</vt:lpstr>
      <vt:lpstr>'9. Alimentazione CE Ricavi'!Titoli_stampa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Bettina Marangoni</cp:lastModifiedBy>
  <cp:lastPrinted>2025-04-03T10:15:17Z</cp:lastPrinted>
  <dcterms:created xsi:type="dcterms:W3CDTF">2019-07-05T08:06:15Z</dcterms:created>
  <dcterms:modified xsi:type="dcterms:W3CDTF">2025-04-14T09:51:09Z</dcterms:modified>
</cp:coreProperties>
</file>